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7400" windowHeight="9675" firstSheet="3" activeTab="3"/>
  </bookViews>
  <sheets>
    <sheet name="зарплата за 1 минуту" sheetId="1" state="hidden" r:id="rId1"/>
    <sheet name="калькуляция" sheetId="2" state="hidden" r:id="rId2"/>
    <sheet name="сравнительная таблица" sheetId="3" state="hidden" r:id="rId3"/>
    <sheet name="прейскурант" sheetId="4" r:id="rId4"/>
    <sheet name="ПЕРЕЧНИ" sheetId="5" state="hidden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<sst xmlns="http://schemas.openxmlformats.org/spreadsheetml/2006/main" count="7384" uniqueCount="1169">
  <si>
    <t>3.1.1.</t>
  </si>
  <si>
    <t>Главный бухгалтер</t>
  </si>
  <si>
    <t>Фельдшер-лаборант, помощник врача 2 кат</t>
  </si>
  <si>
    <t xml:space="preserve">                                                   на проведение санитарно-гигиенических,</t>
  </si>
  <si>
    <t>исследование</t>
  </si>
  <si>
    <t xml:space="preserve">Цена в рублях </t>
  </si>
  <si>
    <t>на первое</t>
  </si>
  <si>
    <t>Цена в рублях на</t>
  </si>
  <si>
    <t xml:space="preserve"> второе и последующие</t>
  </si>
  <si>
    <t>Прибыль</t>
  </si>
  <si>
    <t>Итого:</t>
  </si>
  <si>
    <t>Итоговая</t>
  </si>
  <si>
    <t>Един.</t>
  </si>
  <si>
    <t>Норма</t>
  </si>
  <si>
    <t>Зар-</t>
  </si>
  <si>
    <t>Премия</t>
  </si>
  <si>
    <t>ВСЕГО:</t>
  </si>
  <si>
    <t>измерения</t>
  </si>
  <si>
    <t>основная</t>
  </si>
  <si>
    <t>дополни-</t>
  </si>
  <si>
    <t>ные рас-</t>
  </si>
  <si>
    <t>себестои-</t>
  </si>
  <si>
    <t>к себесто-</t>
  </si>
  <si>
    <t>цена</t>
  </si>
  <si>
    <t>Утверждаю</t>
  </si>
  <si>
    <t xml:space="preserve"> </t>
  </si>
  <si>
    <t>Калькуляция</t>
  </si>
  <si>
    <t>1.Исходные данные для расчета стоимости операции</t>
  </si>
  <si>
    <t>2.Налоги и начисления на заработную плату.</t>
  </si>
  <si>
    <t>3.Налоги.</t>
  </si>
  <si>
    <t xml:space="preserve">Р А С Ч Е Т </t>
  </si>
  <si>
    <t>Пункты прейскуранта</t>
  </si>
  <si>
    <t>Единица</t>
  </si>
  <si>
    <t>Зарплата</t>
  </si>
  <si>
    <t>Наклад-</t>
  </si>
  <si>
    <t>Полная</t>
  </si>
  <si>
    <t>обследов.</t>
  </si>
  <si>
    <t>обучение</t>
  </si>
  <si>
    <t>с НДС</t>
  </si>
  <si>
    <t>5.6.</t>
  </si>
  <si>
    <t>1.3.1.Подготовительные мероприятия</t>
  </si>
  <si>
    <t>экспертиза</t>
  </si>
  <si>
    <t>Инт.труд</t>
  </si>
  <si>
    <t>6.1.</t>
  </si>
  <si>
    <t>6.5.</t>
  </si>
  <si>
    <t xml:space="preserve">                Пункты прейскуранта</t>
  </si>
  <si>
    <t>измер</t>
  </si>
  <si>
    <t>времени</t>
  </si>
  <si>
    <t>плата</t>
  </si>
  <si>
    <t>тельная</t>
  </si>
  <si>
    <t>ходы</t>
  </si>
  <si>
    <t>мость</t>
  </si>
  <si>
    <t>имости</t>
  </si>
  <si>
    <t>мин.</t>
  </si>
  <si>
    <t>исследов.</t>
  </si>
  <si>
    <t>3.1.6.</t>
  </si>
  <si>
    <t xml:space="preserve">     Врач-лаборант, врач-гигиенист, 2 к а т.</t>
  </si>
  <si>
    <t>1 мин</t>
  </si>
  <si>
    <t xml:space="preserve">зар.плата </t>
  </si>
  <si>
    <t>премия</t>
  </si>
  <si>
    <t>интенсивный труд</t>
  </si>
  <si>
    <t>%</t>
  </si>
  <si>
    <t>Главный врач УЗ "Климовичский районный</t>
  </si>
  <si>
    <t>центр гигиены и эпидемиологии"</t>
  </si>
  <si>
    <t>__________________Б.В.Давыдов</t>
  </si>
  <si>
    <t>Заработная плата специалиста за одну минуту:</t>
  </si>
  <si>
    <t>Врач-лаборант 2 категории</t>
  </si>
  <si>
    <t>Врач-бактериолог 2 категории</t>
  </si>
  <si>
    <t>Врач-гигиенист 2 категории</t>
  </si>
  <si>
    <t>Фельдшер лабрант 2 категории</t>
  </si>
  <si>
    <t>Фельдшер лабрант 2 категории с вредностью</t>
  </si>
  <si>
    <t>Лаборант  радиологии2 категории</t>
  </si>
  <si>
    <t>Помощник врача-гигиениста</t>
  </si>
  <si>
    <t xml:space="preserve">                                                                заработной платы специалистов на первое  исследование</t>
  </si>
  <si>
    <t xml:space="preserve">                               на проведение санитарно-гигиенических,паразитологических и микробиологических исследований</t>
  </si>
  <si>
    <t xml:space="preserve">                                                                                                                           РАСЧЕТ</t>
  </si>
  <si>
    <t xml:space="preserve">                                                                      заработной платы специалистов на второе и последующие  исследования</t>
  </si>
  <si>
    <t>Фонд социальной защиты населения : 34 %</t>
  </si>
  <si>
    <t xml:space="preserve">          стоимости работ на санитарно-гигиенические, паразитологические и микробиологические исследования.</t>
  </si>
  <si>
    <t>Отчисл.</t>
  </si>
  <si>
    <t>ФСЗН</t>
  </si>
  <si>
    <t>госстраху</t>
  </si>
  <si>
    <t>по проф.</t>
  </si>
  <si>
    <t>пенс. страх</t>
  </si>
  <si>
    <t>Проф.пенсионное страхование:1,5%</t>
  </si>
  <si>
    <r>
      <t xml:space="preserve">                                  </t>
    </r>
    <r>
      <rPr>
        <b/>
        <sz val="11"/>
        <rFont val="Times New Roman"/>
        <family val="1"/>
      </rPr>
      <t xml:space="preserve">                                       Прейскурант цен</t>
    </r>
  </si>
  <si>
    <r>
      <t xml:space="preserve">                                                </t>
    </r>
    <r>
      <rPr>
        <b/>
        <sz val="11"/>
        <rFont val="Times New Roman"/>
        <family val="1"/>
      </rPr>
      <t>паразитологических и микробиологических</t>
    </r>
  </si>
  <si>
    <r>
      <t xml:space="preserve">                                                                            </t>
    </r>
    <r>
      <rPr>
        <b/>
        <sz val="11"/>
        <rFont val="Times New Roman"/>
        <family val="1"/>
      </rPr>
      <t>исследований</t>
    </r>
  </si>
  <si>
    <t xml:space="preserve">              на первое  исследование</t>
  </si>
  <si>
    <t xml:space="preserve">                                                  на второе и последующие  исследования</t>
  </si>
  <si>
    <t>Техник дозиметрист 2 категории</t>
  </si>
  <si>
    <t>СРАВНИТЕЛЬНАЯ ТАБЛИЦА</t>
  </si>
  <si>
    <t>Наименование платной медицинской услуги</t>
  </si>
  <si>
    <t>Единица измерения</t>
  </si>
  <si>
    <t>Изменение в % проектируемый к действующему</t>
  </si>
  <si>
    <t>Изменение в % утверждаемый к действующему</t>
  </si>
  <si>
    <t>проектируемый</t>
  </si>
  <si>
    <t>единичное</t>
  </si>
  <si>
    <t>каждое последующее</t>
  </si>
  <si>
    <t>% утверждаемого тарифа к проектируему</t>
  </si>
  <si>
    <t>Прибыль к себестоимости : 30%</t>
  </si>
  <si>
    <t>Экономист</t>
  </si>
  <si>
    <r>
      <t>тарифный коэффициент</t>
    </r>
    <r>
      <rPr>
        <sz val="12"/>
        <rFont val="Times New Roman"/>
        <family val="1"/>
      </rPr>
      <t xml:space="preserve"> :</t>
    </r>
  </si>
  <si>
    <t xml:space="preserve">Тарифный оклад: </t>
  </si>
  <si>
    <t>Должностной оклад :</t>
  </si>
  <si>
    <t xml:space="preserve">Количество рабочих часов в месяц </t>
  </si>
  <si>
    <t xml:space="preserve">Заработная плата за 1 минуту    </t>
  </si>
  <si>
    <t xml:space="preserve">Разряд по единой тарифной сетке работников РБ </t>
  </si>
  <si>
    <t>Доплата в связи с особыми условиями труда (Приказ Министерства здравоохранения Республики Беларусь №264 от 27.08.1999г  %</t>
  </si>
  <si>
    <t>сумма</t>
  </si>
  <si>
    <t>Доплата за работу в сельской местности (Указ Президента Республики Беларусь №254 от 01.06.2007 года) %</t>
  </si>
  <si>
    <t>Надбавка за стаж от10 до 15 лет %</t>
  </si>
  <si>
    <t xml:space="preserve">Фельдшер-лаборант 2 категории </t>
  </si>
  <si>
    <t>Фельдшер-лаборант 2 категории в вредностью</t>
  </si>
  <si>
    <t>Помощник врача гигиениста 2 категории</t>
  </si>
  <si>
    <t>Повышение с учетом Постановления СМ РБ №1267 от 01.09.2010 года %</t>
  </si>
  <si>
    <t>Врач-бактериолог2 категории</t>
  </si>
  <si>
    <t>заработной платы специалиста за одну минуту по санитарно-гигиеническим, паразитологическим,  микробиологическим исследованиям</t>
  </si>
  <si>
    <t>(наименование платной медицинской услуги)</t>
  </si>
  <si>
    <t>Показатели</t>
  </si>
  <si>
    <t xml:space="preserve"> РАСЧЕТ</t>
  </si>
  <si>
    <t>Повышение с учетом Постановления СМ РБ №819 от 23.08.2014 года %</t>
  </si>
  <si>
    <t xml:space="preserve">Лаборант 2 категории </t>
  </si>
  <si>
    <t>Лаборант  2 категории</t>
  </si>
  <si>
    <t>УСН 5%</t>
  </si>
  <si>
    <t>Тариф, руб</t>
  </si>
  <si>
    <t xml:space="preserve">Повышение по контракту </t>
  </si>
  <si>
    <t>Надбавка за категорию</t>
  </si>
  <si>
    <t>Интенсивный труд</t>
  </si>
  <si>
    <t xml:space="preserve">                                  </t>
  </si>
  <si>
    <t xml:space="preserve">       </t>
  </si>
  <si>
    <t>Тарифы, руб</t>
  </si>
  <si>
    <t>Размер скидки</t>
  </si>
  <si>
    <t>Отчисления госстраху : 0,08%</t>
  </si>
  <si>
    <t>?</t>
  </si>
  <si>
    <t xml:space="preserve">Расчетная норма рабочего времени( в часах) при 38,5-часовой рабочей неделе на 2018 год  </t>
  </si>
  <si>
    <t>с 22.10.2018г</t>
  </si>
  <si>
    <t>1.</t>
  </si>
  <si>
    <t>Санитарно-гигиенические услуги:</t>
  </si>
  <si>
    <t>1.1.</t>
  </si>
  <si>
    <t>подготовительные работы для осуществления санитарно-гигиенических услуг</t>
  </si>
  <si>
    <t>1.2.</t>
  </si>
  <si>
    <t>разработка и оформление программы лабораторных исследований, испытаний</t>
  </si>
  <si>
    <t>1.4.</t>
  </si>
  <si>
    <t>организация работ по проведению лабораторных испытаний, измерений, оформлению итогового документа</t>
  </si>
  <si>
    <t>1.5.</t>
  </si>
  <si>
    <t>проведение работ по идентификации продукции</t>
  </si>
  <si>
    <t>1.6.</t>
  </si>
  <si>
    <t>проведение работ по отбору проб (образцов)</t>
  </si>
  <si>
    <t>1.7.</t>
  </si>
  <si>
    <t>изготовление и выдача копий, дубликатов документов по результатам санитарно-эпидемиологической услуги, государственной санитарно-гигиенической экспертизы, протоколов лабораторных исследований, актов отбора и идентификации продукции, санитарно-гигиенических заключений (1 документ)</t>
  </si>
  <si>
    <t>1.9.</t>
  </si>
  <si>
    <t>замена (переоформление, внесение изменений) санитарно-гигиенического заключения</t>
  </si>
  <si>
    <t>1.10.</t>
  </si>
  <si>
    <t>проведение консультаций врачами-специалистами и иными специалистами с высшим образованием по вопросам обеспечения санитарно-эпидемиологического благополучия населения</t>
  </si>
  <si>
    <t>1.11.</t>
  </si>
  <si>
    <t>проведение консультаций врачами специалистами и иными специалистами с высшим образованием по вопросам формирования здорового образа жизни</t>
  </si>
  <si>
    <t>1.12.</t>
  </si>
  <si>
    <t>оказание консультативно-методической помощи:</t>
  </si>
  <si>
    <t>1.12.1.</t>
  </si>
  <si>
    <t>в определении списков профессий (должностей) работающих, подлежащих периодическим (в течение трудовой деятельности) медицинским осмотрам (1 профессия)</t>
  </si>
  <si>
    <t>1.12.2.</t>
  </si>
  <si>
    <t>по проведению комплексной гигиенической оценки условий труда</t>
  </si>
  <si>
    <t>1.12.3.</t>
  </si>
  <si>
    <t>по вопросам размещения, проектирования объектов в части обеспечения санитарно-эпидемиологического благополучия населения</t>
  </si>
  <si>
    <t>1.12.5.</t>
  </si>
  <si>
    <t>в определении необходимости государственной регистрации продукции и соответствия (несоответствия) ее требованиям, установленным международными договорами Республики Беларусь, международными правовыми актами, составляющими нормативную правовую базу Евразийского экономического союза и Единого экономического пространства</t>
  </si>
  <si>
    <t>1.12.7.</t>
  </si>
  <si>
    <t>в определении соответствия требованиям законодательства в области санитарно-эпидемиологического благополучия населения работ и услуг, к которым установлены санитарно-эпидемиологические требования</t>
  </si>
  <si>
    <t>1.12.8.</t>
  </si>
  <si>
    <t>в предоставлении информации по актуализации нормативно-методической и другой документации в области обеспечения санитарно-эпидемиологического благополучия населения</t>
  </si>
  <si>
    <t>1.13.</t>
  </si>
  <si>
    <t>гигиеническое обучение работников организаций, индивидуальных предпринимателей и их работников, необходимость которого определяется действующим законодательством:</t>
  </si>
  <si>
    <t>1.13.1.</t>
  </si>
  <si>
    <t>организация и проведение занятий (1 тематика)</t>
  </si>
  <si>
    <t>1.13.2.</t>
  </si>
  <si>
    <t>проведение оценки знаний (для одного слушателя)</t>
  </si>
  <si>
    <t>1.14.</t>
  </si>
  <si>
    <t>проведение семинаров, тренингов, отработки практических навыков по вопросам обеспечения санитарно-эпидемиологического благополучия населения (по одному заявлению)</t>
  </si>
  <si>
    <t>1.15.</t>
  </si>
  <si>
    <t>проведение санитарно-эпидемиологического аудита и выдача рекомендаций по улучшению деятельности организаций и физических лиц, в том числе индивидуальных предпринимателей, и соблюдению требований законодательства в области санитарно-эпидемиологического благополучия населения (по одному заявлению)</t>
  </si>
  <si>
    <t>1.17.</t>
  </si>
  <si>
    <t>санитарно-эпидемиологическое обследование (оценка) объектов:</t>
  </si>
  <si>
    <t>1.17.1.</t>
  </si>
  <si>
    <t>обследование (оценка) торговых мест на рынках, объектов мелкорозничной сети (киоски, лотки) с числом работающих до 3-х человек</t>
  </si>
  <si>
    <t>1.17.2.</t>
  </si>
  <si>
    <t>обследование (оценка) автотранспорта, занятого перевозкой продуктов питания, источников ионизирующего излучения</t>
  </si>
  <si>
    <t>1.17.3.</t>
  </si>
  <si>
    <t>обследование (оценка) цехов, предприятий и других объектов с числом работающих до 10 человек</t>
  </si>
  <si>
    <t>1.17.4.</t>
  </si>
  <si>
    <t>обследование (оценка) цехов, предприятий и других объектов с числом работающих 11-50 человек</t>
  </si>
  <si>
    <t>1.17.5.</t>
  </si>
  <si>
    <t>обследование (оценка) цехов, предприятий и других объектов с числом работающих 51-100 человек</t>
  </si>
  <si>
    <t>1.17.6.</t>
  </si>
  <si>
    <t>обследование (оценка) цехов, предприятий и других объектов с числом работающих 101-300 человек</t>
  </si>
  <si>
    <t>1.17.7.</t>
  </si>
  <si>
    <t>обследование (оценка) цехов, предприятий и других объектов с числом работающих 301-500 человек</t>
  </si>
  <si>
    <t>1.17.8.</t>
  </si>
  <si>
    <t>обследование (оценка) цехов, предприятий и других объектов с числом работающих 501-1000 человек</t>
  </si>
  <si>
    <t>1.17.9.</t>
  </si>
  <si>
    <t>обследование (оценка) цехов, предприятий и других объектов с числом работающих свыше 1000 человек</t>
  </si>
  <si>
    <t>1.18.</t>
  </si>
  <si>
    <t>государственная санитарно-гигиеническая экспертиза:</t>
  </si>
  <si>
    <t>1.18.4.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</si>
  <si>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до 100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, на объекты с числом работающих до 50 чел., проектов санитарно-защитной зоны предприятий с числом источников выбросов до 20</t>
    </r>
  </si>
  <si>
    <t>1.18.5.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</si>
  <si>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101-500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, на объекты с числом работающих 51-100 чел., проектов санитарно-защитной зоны предприятий с числом источников выбросов 21-40</t>
    </r>
  </si>
  <si>
    <t>1.18.6.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</si>
  <si>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501-1000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, на объекты с числом работающих 101-300 чел., проектов санитарно-защитной зоны предприятий с числом источников выбросов 41-60</t>
    </r>
  </si>
  <si>
    <t>1.18.7.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</si>
  <si>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более 1000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, на объекты с числом работающих свыше 300 чел., проектов санитарно-защитной зоны предприятий с числом источников выбросов более 60</t>
    </r>
  </si>
  <si>
    <t>1.18.8.</t>
  </si>
  <si>
    <r>
      <t>архитектурно-строительных проектов объектов общей площадью до 100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и (или) числом работающих до 50 человек</t>
    </r>
  </si>
  <si>
    <t>1.18.9.</t>
  </si>
  <si>
    <r>
      <t>архитектурно-строительных проектов объектов общей площадью 101-500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и (или) числом работающих 51-100 человек</t>
    </r>
  </si>
  <si>
    <t>1.18.10.</t>
  </si>
  <si>
    <r>
      <t>архитектурно-строительных проектов объектов общей площадью 501-1000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и (или) числом работающих 101-300 человек</t>
    </r>
  </si>
  <si>
    <t>1.18.11.</t>
  </si>
  <si>
    <r>
      <t>архитектурно-строительных проектов объектов общей площадью более 1000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и (или) числом работающих свыше 300 человек</t>
    </r>
  </si>
  <si>
    <t>1.18.12.</t>
  </si>
  <si>
    <t>проектов санитарно-защитных зон ядерных установок и (или) пунктов хранения ядерных материалов, отработавших ядерных материалов и (или) эксплуатационных радиоактивных отходов, зон санитарной охраны источников и водопроводных сооружений централизованных систем питьевого водоснабжения</t>
  </si>
  <si>
    <t>1.18.13.</t>
  </si>
  <si>
    <t>проекта расчета санитарно-защитной зоны и зоны ограничения застройки передающего радиотехнического объекта</t>
  </si>
  <si>
    <t>1.18.14.</t>
  </si>
  <si>
    <t>работ и услуг, представляющих потенциальную опасность для жизни и здоровья населения, деятельности субъекта хозяйствования по производству пищевой продукции</t>
  </si>
  <si>
    <t>1.18.18.</t>
  </si>
  <si>
    <t>условий труда работников субъектов хозяйствования с количеством работающих до 10 человек</t>
  </si>
  <si>
    <t>1.18.19.</t>
  </si>
  <si>
    <t>условий труда работников субъектов хозяйствования с количеством работающих 11-50 человек</t>
  </si>
  <si>
    <t>1.18.20.</t>
  </si>
  <si>
    <t>условий труда работников субъектов хозяйствования с количеством работающих 51-100 человек</t>
  </si>
  <si>
    <t>1.18.21.</t>
  </si>
  <si>
    <t>условий труда работников субъектов хозяйствования с количеством работающих 101-300 человек</t>
  </si>
  <si>
    <t>1.18.22.</t>
  </si>
  <si>
    <t>условий труда работников субъектов хозяйствования с количеством работающих более 300 человек</t>
  </si>
  <si>
    <t>1.19.</t>
  </si>
  <si>
    <t>изучение и оценка возможности размещения объекта строительства на предпроектной стадии</t>
  </si>
  <si>
    <t>1.21.</t>
  </si>
  <si>
    <t>комплексная гигиеническая оценка условий труда:</t>
  </si>
  <si>
    <t>1.21.1.</t>
  </si>
  <si>
    <t>проведение комплексной гигиенической оценки результатов состояния условий труда по выполненным лабораторным исследованиям и измерениям факторов производственной среды и психофизиологических особенностей трудового процесса (1 профессия без лабораторных исследований и оценки условий труда по тяжести и напряженности трудового процесса)</t>
  </si>
  <si>
    <t>1.21.2.</t>
  </si>
  <si>
    <t>оценка психофизиологических факторов производственной среды:</t>
  </si>
  <si>
    <t>1.21.2.1.</t>
  </si>
  <si>
    <t>тяжести трудового процесса</t>
  </si>
  <si>
    <t>1.21.2.2.</t>
  </si>
  <si>
    <t>напряженности трудового процесса</t>
  </si>
  <si>
    <t>2.2.</t>
  </si>
  <si>
    <t>вода:</t>
  </si>
  <si>
    <t>2.2.1.</t>
  </si>
  <si>
    <t>питьевая вода (вода централизованных и децентрализованных водоисточников), вода питьевая бутилированная:</t>
  </si>
  <si>
    <t>2.2.1.1.</t>
  </si>
  <si>
    <t>определение вкуса и запаха</t>
  </si>
  <si>
    <t>2.2.1.2.</t>
  </si>
  <si>
    <t>определение мутности:</t>
  </si>
  <si>
    <t>2.2.1.2.1.</t>
  </si>
  <si>
    <t>определение мутности (приготовление стандарта из навески) (ФЭК)</t>
  </si>
  <si>
    <t>2.2.1.2.2.</t>
  </si>
  <si>
    <t>определение мутности (приготовление стандарта из государственного стандартного образца (далее - ГСО)) (ФЭК)</t>
  </si>
  <si>
    <t>2.2.1.3.</t>
  </si>
  <si>
    <t>определение цветности (ФЭК)</t>
  </si>
  <si>
    <t>2.2.1.4.</t>
  </si>
  <si>
    <t>определение рН (ионометрия)</t>
  </si>
  <si>
    <t>2.2.1.5.</t>
  </si>
  <si>
    <t>определение хлора и хлоридов:</t>
  </si>
  <si>
    <t>2.2.1.5.1.</t>
  </si>
  <si>
    <t>определение остаточного активного хлора</t>
  </si>
  <si>
    <t>2.2.1.5.2.</t>
  </si>
  <si>
    <t>определение хлоридов</t>
  </si>
  <si>
    <t>2.2.1.5.3.</t>
  </si>
  <si>
    <t>определение свободного и общего хлора</t>
  </si>
  <si>
    <t>2.2.1.6.</t>
  </si>
  <si>
    <t>определение сухого остатка</t>
  </si>
  <si>
    <t>2.2.1.7.</t>
  </si>
  <si>
    <t>определение общей жесткости</t>
  </si>
  <si>
    <t>2.2.1.8.</t>
  </si>
  <si>
    <t>определение аммиака и ионов аммония (ФЭК)</t>
  </si>
  <si>
    <t>2.2.1.9.</t>
  </si>
  <si>
    <t>определение нитритов (ФЭК)</t>
  </si>
  <si>
    <t>2.2.1.10.</t>
  </si>
  <si>
    <t>определение нитратов (ФЭК)</t>
  </si>
  <si>
    <t>2.2.1.11.</t>
  </si>
  <si>
    <t>определение общего железа:</t>
  </si>
  <si>
    <t>2.2.1.11.1.</t>
  </si>
  <si>
    <t>определение общего железа (ФЭК)</t>
  </si>
  <si>
    <t>2.2.1.12.</t>
  </si>
  <si>
    <t>определение сульфатов:</t>
  </si>
  <si>
    <t>2.2.1.12.1.</t>
  </si>
  <si>
    <t>определение сульфатов (ФЭК)</t>
  </si>
  <si>
    <t>2.2.1.15.</t>
  </si>
  <si>
    <t>определение меди:</t>
  </si>
  <si>
    <t>2.2.1.15.1.</t>
  </si>
  <si>
    <t>определение меди (ФЭК)</t>
  </si>
  <si>
    <t>2.2.1.16.</t>
  </si>
  <si>
    <t>определение марганца:</t>
  </si>
  <si>
    <t>2.2.1.16.1.</t>
  </si>
  <si>
    <t>определение марганца (ФЭК)</t>
  </si>
  <si>
    <t>2.2.1.18.</t>
  </si>
  <si>
    <t>определение фтора:</t>
  </si>
  <si>
    <t>2.2.1.18.1.</t>
  </si>
  <si>
    <t>определение фтора (ФЭК)</t>
  </si>
  <si>
    <t>2.2.1.20.</t>
  </si>
  <si>
    <t>определение бора:</t>
  </si>
  <si>
    <t>2.2.1.20.1.</t>
  </si>
  <si>
    <t>определение бора (ФЭК, СФМ)</t>
  </si>
  <si>
    <t>2.2.2.</t>
  </si>
  <si>
    <t>вода открытых водоемов, сточные воды:</t>
  </si>
  <si>
    <t>2.2.2.1.</t>
  </si>
  <si>
    <t>определение взвешенных веществ</t>
  </si>
  <si>
    <t>2.2.2.2.</t>
  </si>
  <si>
    <t>определение окисляемости перманганатной</t>
  </si>
  <si>
    <t>2.2.2.23.</t>
  </si>
  <si>
    <t>определение железа общего:</t>
  </si>
  <si>
    <t>2.2.2.23.2.</t>
  </si>
  <si>
    <t>определение железа общего (ФЭК)</t>
  </si>
  <si>
    <t>2.2.2.25.</t>
  </si>
  <si>
    <t>2.2.2.30.</t>
  </si>
  <si>
    <t>определение жесткости (титриметрический метод)</t>
  </si>
  <si>
    <t>2.2.2.35.</t>
  </si>
  <si>
    <t>определение нитратов:</t>
  </si>
  <si>
    <t>2.2.2.35.1.</t>
  </si>
  <si>
    <t>2.2.2.36.</t>
  </si>
  <si>
    <t>определение хлоридов:</t>
  </si>
  <si>
    <t>2.2.2.36.2.</t>
  </si>
  <si>
    <t>определение хлоридов (титриметрический метод с серебром азотнокислым)</t>
  </si>
  <si>
    <t>2.2.2.46.</t>
  </si>
  <si>
    <t>определение рН</t>
  </si>
  <si>
    <t>2.2.2.47.</t>
  </si>
  <si>
    <t>2.2.2.47.1.</t>
  </si>
  <si>
    <t>2.2.3.</t>
  </si>
  <si>
    <t>вода бассейнов:</t>
  </si>
  <si>
    <t>2.2.3.1.</t>
  </si>
  <si>
    <t>определение мутности (ФЭК)</t>
  </si>
  <si>
    <t>2.2.3.2.</t>
  </si>
  <si>
    <t>2.2.3.3.</t>
  </si>
  <si>
    <t>определение запаха</t>
  </si>
  <si>
    <t>2.2.3.4.</t>
  </si>
  <si>
    <t>2.2.3.5.</t>
  </si>
  <si>
    <t>определение свободного хлора и общего хлора</t>
  </si>
  <si>
    <t>2.2.3.6.</t>
  </si>
  <si>
    <t>определение аммиака и ионов аммония</t>
  </si>
  <si>
    <t>2.2.3.7.</t>
  </si>
  <si>
    <t>2.2.7.</t>
  </si>
  <si>
    <t>отбор, регистрация, оформление:</t>
  </si>
  <si>
    <t>2.2.7.1.</t>
  </si>
  <si>
    <t>отбор проб</t>
  </si>
  <si>
    <t>2.2.7.2.</t>
  </si>
  <si>
    <t>прием, регистрация проб</t>
  </si>
  <si>
    <t>2.2.7.3.</t>
  </si>
  <si>
    <t>оформление протокола испытаний</t>
  </si>
  <si>
    <t>2.2.7.4.</t>
  </si>
  <si>
    <t>оформление первичного отчета (протокола)</t>
  </si>
  <si>
    <t>3.</t>
  </si>
  <si>
    <t>Физико-химические и инструментальные исследования и испытания продукции:</t>
  </si>
  <si>
    <t>3.1.</t>
  </si>
  <si>
    <t>пищевая продукция и продовольственное сырье:</t>
  </si>
  <si>
    <t>индивидуальные и обобщенные показатели:</t>
  </si>
  <si>
    <t>3.1.1.12.</t>
  </si>
  <si>
    <t>определение жира:</t>
  </si>
  <si>
    <t>3.1.1.12.4.</t>
  </si>
  <si>
    <t>определение жира методом Гербера (кислотный метод)</t>
  </si>
  <si>
    <t>3.1.1.18.</t>
  </si>
  <si>
    <t>определение металлопримесей</t>
  </si>
  <si>
    <t>3.1.1.19.</t>
  </si>
  <si>
    <t>определение сухих веществ и влажности:</t>
  </si>
  <si>
    <t>3.1.1.19.1.</t>
  </si>
  <si>
    <t>определение сухих веществ и влажности (до постоянного веса)</t>
  </si>
  <si>
    <t>3.1.1.19.2.</t>
  </si>
  <si>
    <t>определение сухих веществ и влажности (фиксированное время сушки)</t>
  </si>
  <si>
    <t>3.1.1.19.5.</t>
  </si>
  <si>
    <t>определение сухих веществ в безалкогольных напитках, квасах</t>
  </si>
  <si>
    <t>3.1.1.26.</t>
  </si>
  <si>
    <t>определение йода, йодистого калия:</t>
  </si>
  <si>
    <t>3.1.1.26.1.</t>
  </si>
  <si>
    <t>определение йода, йодистого калия в поваренной соли</t>
  </si>
  <si>
    <t>3.1.1.40.</t>
  </si>
  <si>
    <t>определение кислотности</t>
  </si>
  <si>
    <t>3.1.1.44.</t>
  </si>
  <si>
    <t>3.1.1.44.1.</t>
  </si>
  <si>
    <t>определение нитратов в продукции растениеводства (ионометрический метод)</t>
  </si>
  <si>
    <t>3.1.1.44.2.</t>
  </si>
  <si>
    <t>определение нитратов в продуктах переработки плодов и овощей методом с помощью кадмиевой колонки (фотометрический метод)</t>
  </si>
  <si>
    <t>3.1.1.47.</t>
  </si>
  <si>
    <t>определение эффективности термической обработки</t>
  </si>
  <si>
    <t>3.1.1.56.</t>
  </si>
  <si>
    <t>определение белка:</t>
  </si>
  <si>
    <t>3.1.1.56.1.</t>
  </si>
  <si>
    <t>определение белка в пищевых продуктах по Кьельдалю</t>
  </si>
  <si>
    <t>3.1.1.56.2.</t>
  </si>
  <si>
    <t>определение белка в пищевых продуктах методом Болотова</t>
  </si>
  <si>
    <t>3.1.1.56.3.</t>
  </si>
  <si>
    <t>определение белка по Кьельдалю при сжигании на электроплите</t>
  </si>
  <si>
    <t>3.1.1.56.4.</t>
  </si>
  <si>
    <t>определение белка в мясных продуктах (ФЭК)</t>
  </si>
  <si>
    <t>3.1.1.57.</t>
  </si>
  <si>
    <t>приготовление блюд к анализу (обеды и суточные рационы)</t>
  </si>
  <si>
    <t>3.1.1.58.</t>
  </si>
  <si>
    <t>расчет пищевой ценности рационов:</t>
  </si>
  <si>
    <t>3.1.1.58.1.</t>
  </si>
  <si>
    <t>расчет теоретических величин рациона</t>
  </si>
  <si>
    <t>3.1.1.58.2.</t>
  </si>
  <si>
    <t>расчет фактических величин рациона</t>
  </si>
  <si>
    <t>3.1.1.59.</t>
  </si>
  <si>
    <t>расчет пищевой ценности, калорийности готовых блюд:</t>
  </si>
  <si>
    <t>3.1.1.59.1.</t>
  </si>
  <si>
    <t>расчет пищевой ценности, калорийности готовых блюд (теоретический)</t>
  </si>
  <si>
    <t>3.1.1.59.2.</t>
  </si>
  <si>
    <t>расчет пищевой ценности, калорийности готовых блюд (фактический)</t>
  </si>
  <si>
    <t>3.1.1.93.</t>
  </si>
  <si>
    <t>определение органолептических показателей в продуктах, готовых к употреблению:</t>
  </si>
  <si>
    <t>3.1.1.93.1.</t>
  </si>
  <si>
    <t>определение органолептических показателей в продуктах, готовых к употреблению (без заполнения дегустиционных листов)</t>
  </si>
  <si>
    <t>3.1.1.93.2.</t>
  </si>
  <si>
    <t>определение органолептических показателей в продуктах, готовых к употреблению (с заполнением дегустиционных листов)</t>
  </si>
  <si>
    <t>3.1.1.94.</t>
  </si>
  <si>
    <t>определение органолептических показателей с проведением термообработки</t>
  </si>
  <si>
    <t>3.1.1.95.</t>
  </si>
  <si>
    <t>определение аммиака</t>
  </si>
  <si>
    <t>3.1.1.99.</t>
  </si>
  <si>
    <t>определение перекиси</t>
  </si>
  <si>
    <t>3.1.1.112.</t>
  </si>
  <si>
    <t>определение соды (качественная реакция)</t>
  </si>
  <si>
    <t>3.1.1.117.</t>
  </si>
  <si>
    <t>3.1.1.121.</t>
  </si>
  <si>
    <t>определение массы нетто</t>
  </si>
  <si>
    <t>3.1.1.122.</t>
  </si>
  <si>
    <t>определение объема</t>
  </si>
  <si>
    <t>3.1.1.123.</t>
  </si>
  <si>
    <t>определение размера</t>
  </si>
  <si>
    <t>3.1.1.125.</t>
  </si>
  <si>
    <t>определение посторонних примесей</t>
  </si>
  <si>
    <t>3.1.1.127.</t>
  </si>
  <si>
    <t>определение зараженности вредителями</t>
  </si>
  <si>
    <t>3.1.1.132.</t>
  </si>
  <si>
    <t>определение массовой доли крошки</t>
  </si>
  <si>
    <t>3.1.1.133.</t>
  </si>
  <si>
    <t>определение массовой доли деформированных изделий</t>
  </si>
  <si>
    <t>3.1.5.5.</t>
  </si>
  <si>
    <t>определение аскорбиновой кислоты (витамина С):</t>
  </si>
  <si>
    <t>3.1.5.5.1.</t>
  </si>
  <si>
    <t>определение аскорбиновой кислоты (витамина С), кроме витаминных препаратов (титриметрический метод)</t>
  </si>
  <si>
    <t>регистрация и оформление результатов</t>
  </si>
  <si>
    <t>3.1.6.1.</t>
  </si>
  <si>
    <t>учет поступления образца в лабораторию</t>
  </si>
  <si>
    <t>3.1.6.2.</t>
  </si>
  <si>
    <t>оформление первичного отчета испытаний по результатам лаборатории</t>
  </si>
  <si>
    <t>4.</t>
  </si>
  <si>
    <t>Измерения (исследования) физических факторов окружающей и производственной среды:</t>
  </si>
  <si>
    <t>4.12.</t>
  </si>
  <si>
    <t>измерение температуры или относительной влажности воздуха</t>
  </si>
  <si>
    <t>5.</t>
  </si>
  <si>
    <t>Радиологические исследования и измерения:</t>
  </si>
  <si>
    <t>5.1.</t>
  </si>
  <si>
    <t>радиометрический анализ:</t>
  </si>
  <si>
    <t>5.1.1.</t>
  </si>
  <si>
    <t>радиометрическое определение цезия-137:</t>
  </si>
  <si>
    <t>5.1.1.1.</t>
  </si>
  <si>
    <t>радиометрическое определение цезия-137 в продуктах питания и питьевой воде</t>
  </si>
  <si>
    <t>5.1.1.2.</t>
  </si>
  <si>
    <t>радиометрическое определение цезия-137 в непищевой продукции</t>
  </si>
  <si>
    <t>5.5.</t>
  </si>
  <si>
    <t>дозиметрические исследования:</t>
  </si>
  <si>
    <t>5.5.1.</t>
  </si>
  <si>
    <t>измерение плотности потока альфа и бета частиц с поверхности</t>
  </si>
  <si>
    <t>5.5.2.</t>
  </si>
  <si>
    <t>измерение мощности дозы гамма-излучения</t>
  </si>
  <si>
    <t>5.5.8.</t>
  </si>
  <si>
    <t>измерение мощности дозы гамма-излучения для определения однородности партии</t>
  </si>
  <si>
    <t>оформление результатов:</t>
  </si>
  <si>
    <t>5.6.1.</t>
  </si>
  <si>
    <t>оформление первичного отчета (протокола) испытаний, исследований, измерений</t>
  </si>
  <si>
    <t>5.6.2.</t>
  </si>
  <si>
    <t>оформление протокола испытаний, исследований</t>
  </si>
  <si>
    <t>6.1.1.2.</t>
  </si>
  <si>
    <t>выписка результата исследования</t>
  </si>
  <si>
    <t>6.1.1.3.</t>
  </si>
  <si>
    <t>приготовление плотных и жидких питательных сред на одну емкость (чашку, пробирку)</t>
  </si>
  <si>
    <t>6.1.1.4.</t>
  </si>
  <si>
    <t>отбор проб факторов среды обитания</t>
  </si>
  <si>
    <t>6.1.2.</t>
  </si>
  <si>
    <t>методы контроля питательных сред:</t>
  </si>
  <si>
    <t>6.1.2.1.</t>
  </si>
  <si>
    <t>определение показателя чувствительности (производительности) питательных сред с одним тест-микроорганизмом</t>
  </si>
  <si>
    <t>6.1.2.2.</t>
  </si>
  <si>
    <t>определение показателя ингибиции (селективности) питательных сред с одним тест-микроорганизмом</t>
  </si>
  <si>
    <t>6.1.2.3.</t>
  </si>
  <si>
    <t>определение специфичности (элективности) питательных сред с одним тест-микроорганизмом</t>
  </si>
  <si>
    <t>6.1.2.4.</t>
  </si>
  <si>
    <t>определение стерильности (микробного загрязнения) питательных сред</t>
  </si>
  <si>
    <t>6.2.</t>
  </si>
  <si>
    <t>паразитологические и энтомологические исследования продукции и факторов среды обитания:</t>
  </si>
  <si>
    <t>6.2.1.</t>
  </si>
  <si>
    <t>паразитологические методы исследования продукции и факторов среды обитания:</t>
  </si>
  <si>
    <t>6.2.1.6.</t>
  </si>
  <si>
    <t>исследование 1 пробы сточной воды (экспресс-метод, с использованием концентратора гидробиологического) на яйца гельминтов, цисты лямблий, ооцисты криптоспоридий</t>
  </si>
  <si>
    <t>6.2.1.7.</t>
  </si>
  <si>
    <t>исследование 1 пробы питьевой воды, воды открытых водоемов, плавательных бассейнов (экспресс-метод, с использованием концентратора гидробиологического) на яйца гельминтов, цисты лямблий, ооцисты криптоспоридий</t>
  </si>
  <si>
    <t>6.2.1.8.</t>
  </si>
  <si>
    <t>исследование 1 пробы осадков сточных вод, иловых площадок, почвы (экспресс-метод с использованием концентратора гидробиологического) на яйца гельминтов, цисты лямблий, ооцисты криптоспоридий</t>
  </si>
  <si>
    <t>6.2.1.9.</t>
  </si>
  <si>
    <t>исследование 1 пробы овощей, фруктов, зелени и продуктов их переработки (экспресс-метод с использованием концентратора гидробиологического и другие методы) на яйца гельминтов, цисты лямблий, ооцисты криптоспоридий</t>
  </si>
  <si>
    <t>6.2.1.10.</t>
  </si>
  <si>
    <t>исследование столовой травы, зелени на личинки гельминтов (метод Бермана)</t>
  </si>
  <si>
    <t>6.2.1.11.</t>
  </si>
  <si>
    <t>исследование 1 пробы почвы на яйца и личинки гельминтов методом ИМП и ТМ (усовершенствованный)</t>
  </si>
  <si>
    <t>6.2.1.12.</t>
  </si>
  <si>
    <t>исследование смывов с предметов обихода на яйца и личинки гельминтов, цисты патогенных простейших</t>
  </si>
  <si>
    <t>6.3.</t>
  </si>
  <si>
    <t>санитарно-микробиологические исследования:</t>
  </si>
  <si>
    <t>6.3.1.</t>
  </si>
  <si>
    <t>бактериологические методы исследования продукции и факторов среды обитания:</t>
  </si>
  <si>
    <t>6.3.1.1.</t>
  </si>
  <si>
    <t>6.3.1.2.</t>
  </si>
  <si>
    <t>определение наличия патогенных микроорганизмов, в том числе сальмонелл в определенном количества образца:</t>
  </si>
  <si>
    <t>6.3.1.2.1.</t>
  </si>
  <si>
    <t>при отсутствии роста микроорганизмов</t>
  </si>
  <si>
    <t>6.3.1.2.2.</t>
  </si>
  <si>
    <t>при наличии роста микроорганизмов и идентификации классическим методом</t>
  </si>
  <si>
    <t>6.3.1.3.</t>
  </si>
  <si>
    <t>определение наличия бактерий группы кишечной палочки (далее - БГКП) в определенном количестве образца</t>
  </si>
  <si>
    <t>6.3.1.4.</t>
  </si>
  <si>
    <t>определение наличия БГКП титрационным методом (соки, напитки)</t>
  </si>
  <si>
    <t>6.3.1.5.</t>
  </si>
  <si>
    <t>определние сульфитредуцирующих клостридий в определенном количестве образца</t>
  </si>
  <si>
    <t>6.3.1.6.</t>
  </si>
  <si>
    <t>определение коагулазоположительного стафилококка в определенном количестве образца</t>
  </si>
  <si>
    <t>6.3.1.7.</t>
  </si>
  <si>
    <t>определение количества энтерококков в определенном количестве образца</t>
  </si>
  <si>
    <t>6.3.1.8.</t>
  </si>
  <si>
    <t>определение наличия Bac. cereus в определенном количестве образца</t>
  </si>
  <si>
    <t>6.3.1.11.</t>
  </si>
  <si>
    <t>определение протея в определенном количестве образца</t>
  </si>
  <si>
    <t>6.3.1.14.</t>
  </si>
  <si>
    <t>определение количества плесневых грибов и дрожжей в определенном количестве образца</t>
  </si>
  <si>
    <t>6.3.1.19.</t>
  </si>
  <si>
    <t>выявление Listeria monocytogenes в определенном количестве образца:</t>
  </si>
  <si>
    <t>6.3.1.19.1.</t>
  </si>
  <si>
    <t>6.3.1.19.2.</t>
  </si>
  <si>
    <t>6.3.1.20.</t>
  </si>
  <si>
    <t>определение наличия микроорганизмов семейства Enterobacteriaceae в определенном количестве образца</t>
  </si>
  <si>
    <t>6.3.1.21.</t>
  </si>
  <si>
    <t>определение наличия Escherichia coli в определенном количестве образца</t>
  </si>
  <si>
    <t>6.3.1.22.</t>
  </si>
  <si>
    <t>определение ОКБ, ТКБ в воде методом мембранной фильтрации:</t>
  </si>
  <si>
    <t>6.3.1.22.1.</t>
  </si>
  <si>
    <t>при отсутствии микроорганизмов</t>
  </si>
  <si>
    <t>6.3.1.22.2.</t>
  </si>
  <si>
    <t>при выделении микроорганизмов с идентификацией Escherichia coli</t>
  </si>
  <si>
    <t>6.3.1.23.</t>
  </si>
  <si>
    <t>определение ОКБ, ТКБ в воде титрационным методом:</t>
  </si>
  <si>
    <t>6.3.1.23.1.</t>
  </si>
  <si>
    <t>6.3.1.23.2.</t>
  </si>
  <si>
    <t>6.3.1.24.</t>
  </si>
  <si>
    <t>определение общего числа микроорганизмов в воде</t>
  </si>
  <si>
    <t>при выделении микроорганизмов</t>
  </si>
  <si>
    <t>6.3.1.31.</t>
  </si>
  <si>
    <t>обнаружение лецитиназоположительных стафилококков в воде методом накопления:</t>
  </si>
  <si>
    <t>6.3.1.31.1.</t>
  </si>
  <si>
    <t>6.3.1.31.2.</t>
  </si>
  <si>
    <t>при выделении микроорганизмов с изучением морфологических свойств</t>
  </si>
  <si>
    <t>6.3.1.32.</t>
  </si>
  <si>
    <t>Pseudomonas aeruginosa в воде методом мембранной фильтрации:</t>
  </si>
  <si>
    <t>6.3.1.32.1.</t>
  </si>
  <si>
    <t>6.3.1.32.2.</t>
  </si>
  <si>
    <t>6.3.1.33.</t>
  </si>
  <si>
    <t>обнаружение Pseudomonas aeruginosa в воде методом накопления:</t>
  </si>
  <si>
    <t>6.3.1.33.1.</t>
  </si>
  <si>
    <t>6.3.1.33.2.</t>
  </si>
  <si>
    <t>6.3.1.34.</t>
  </si>
  <si>
    <t>обнаружение бактерий рода Salmonella в воде:</t>
  </si>
  <si>
    <t>6.3.1.34.1.</t>
  </si>
  <si>
    <t>6.3.1.34.2.</t>
  </si>
  <si>
    <t>6.3.1.40.</t>
  </si>
  <si>
    <t>определение БГКП методом смыва:</t>
  </si>
  <si>
    <t>6.3.1.40.1.</t>
  </si>
  <si>
    <t>6.3.1.40.2.</t>
  </si>
  <si>
    <t>6.3.1.41.</t>
  </si>
  <si>
    <t>определение общей микробной обсемененности методом смыва</t>
  </si>
  <si>
    <t>6.3.1.42.</t>
  </si>
  <si>
    <t>определение наличия патогенных микроорганизмов, в том числе сальмонелл методом смыва:</t>
  </si>
  <si>
    <t>6.3.1.42.1.</t>
  </si>
  <si>
    <t>6.3.1.42.2.</t>
  </si>
  <si>
    <t>при выделении микроорганизмов классическим методом</t>
  </si>
  <si>
    <t>6.3.1.43.</t>
  </si>
  <si>
    <t>определение коагулазоположительного стафилококка методом смыва:</t>
  </si>
  <si>
    <t>6.3.1.43.1.</t>
  </si>
  <si>
    <t>6.3.1.43.2.</t>
  </si>
  <si>
    <t>при выделении микроорганизмов с изучением морфологических свойств и идентификацией до вида</t>
  </si>
  <si>
    <t>6.3.1.44.</t>
  </si>
  <si>
    <t>определение Listeria monocytogenes методом смыва:</t>
  </si>
  <si>
    <t>6.3.1.44.1.</t>
  </si>
  <si>
    <t>6.3.1.44.2.</t>
  </si>
  <si>
    <t>6.3.1.45.</t>
  </si>
  <si>
    <t>определение Pseudomonas aeruginosa методом смыва:</t>
  </si>
  <si>
    <t>6.3.1.45.1.</t>
  </si>
  <si>
    <t>6.3.1.45.2.</t>
  </si>
  <si>
    <t>6.3.1.46.</t>
  </si>
  <si>
    <t>определение количества плесневых грибов методом смыва</t>
  </si>
  <si>
    <t>6.3.1.52.</t>
  </si>
  <si>
    <t>определение ОМЧ в воздухе</t>
  </si>
  <si>
    <t>6.3.1.53.</t>
  </si>
  <si>
    <t>определение коагулазоположительного стафилококка в воздухе</t>
  </si>
  <si>
    <t>6.3.1.54.</t>
  </si>
  <si>
    <t>определение содержания дрожжеподобных и плесневых грибов в воздухе</t>
  </si>
  <si>
    <t>6.3.1.69.</t>
  </si>
  <si>
    <t>определение E. coli в лекарственных средствах</t>
  </si>
  <si>
    <t>6.3.1.70.</t>
  </si>
  <si>
    <t>определение Staphylococcus aureus в лекарственных средствах</t>
  </si>
  <si>
    <t>6.3.1.71.</t>
  </si>
  <si>
    <t>определение Pseudomonas aeruginosa в лекарственных средствах</t>
  </si>
  <si>
    <t>6.3.1.72.</t>
  </si>
  <si>
    <t>определение бактерий рода Salmonella в лекарственных средствах</t>
  </si>
  <si>
    <t>6.3.1.75.</t>
  </si>
  <si>
    <t>контроль работы паровых и воздушных стерилизаторов бактериологическим методом</t>
  </si>
  <si>
    <t>6.3.1.76.</t>
  </si>
  <si>
    <t>контроль работы дезкамер бактериологическим методом</t>
  </si>
  <si>
    <t>лабораторные исследования по диагностике и мониторингу инфекционных заболеваний:</t>
  </si>
  <si>
    <t>6.5.1.</t>
  </si>
  <si>
    <t>бактериологические исследования по диагностике и мониторингу инфекционных заболеваний:</t>
  </si>
  <si>
    <t>6.5.1.1.</t>
  </si>
  <si>
    <t>исследования на аэробные и факультативно-анаэробные микроорганизмы в испражнениях, мазках на патогенную и условно-патогенную кишечную флору:</t>
  </si>
  <si>
    <t>6.5.1.1.1.</t>
  </si>
  <si>
    <t>при отсутствии диагностически значимых микроорганизмов</t>
  </si>
  <si>
    <t>6.5.1.2.1.</t>
  </si>
  <si>
    <t>1 - 2 культуры</t>
  </si>
  <si>
    <t>6.5.1.2.2.</t>
  </si>
  <si>
    <t>3 и более культуры</t>
  </si>
  <si>
    <t>6.5.1.3.</t>
  </si>
  <si>
    <t>исследования на аэробные и факультативно-анаэробные микроорганизмы в крови:</t>
  </si>
  <si>
    <t>6.5.1.3.1.</t>
  </si>
  <si>
    <t>культуральное исследование:</t>
  </si>
  <si>
    <t>6.5.1.3.1.1.</t>
  </si>
  <si>
    <t>6.5.1.3.1.2.</t>
  </si>
  <si>
    <t>6.5.1.3.3.</t>
  </si>
  <si>
    <t>исследование с идентификацией до вида:</t>
  </si>
  <si>
    <t>6.5.1.3.3.1.</t>
  </si>
  <si>
    <t>классическим методом</t>
  </si>
  <si>
    <t>6.5.1.5.</t>
  </si>
  <si>
    <t>исследования на аэробные и факультативно-анаэробные микроорганизмы в мокроте и промывных водах бронхов:</t>
  </si>
  <si>
    <t>6.5.1.5.1.</t>
  </si>
  <si>
    <t>культуральное исследование при количестве ниже диагностических титров</t>
  </si>
  <si>
    <t>6.5.1.5.2.</t>
  </si>
  <si>
    <t>при выделении микроорганизмов с изучением морфологических свойств:</t>
  </si>
  <si>
    <t>6.5.1.5.2.1.</t>
  </si>
  <si>
    <t>1-2 культуры</t>
  </si>
  <si>
    <t>6.5.1.5.2.2.</t>
  </si>
  <si>
    <t>6.5.1.5.3.</t>
  </si>
  <si>
    <t>6.5.1.5.3.1.</t>
  </si>
  <si>
    <t>6.5.1.6.</t>
  </si>
  <si>
    <t>исследования на аэробные и факультативно-анаэробные микроорганизмы в моче (полуколичественный метод):</t>
  </si>
  <si>
    <t>6.5.1.6.1.</t>
  </si>
  <si>
    <t>культуральное исследование при отсутствии микроорганизмов или их количестве ниже диагностических титров</t>
  </si>
  <si>
    <t>6.5.1.6.2.</t>
  </si>
  <si>
    <t>6.5.1.6.3.</t>
  </si>
  <si>
    <t>6.5.1.6.3.1.</t>
  </si>
  <si>
    <t>культуральное исследование при отсутствии микроорганизмов</t>
  </si>
  <si>
    <t>6.5.1.12.</t>
  </si>
  <si>
    <t>исследования на аэробные и факультативно-анаэробные микроорганизмы в отделяемом носоглотки, носа, зева:</t>
  </si>
  <si>
    <t>6.5.1.12.1.</t>
  </si>
  <si>
    <t>6.5.1.12.2.</t>
  </si>
  <si>
    <t>6.5.1.12.2.1.</t>
  </si>
  <si>
    <t>6.5.1.12.2.2.</t>
  </si>
  <si>
    <t>6.5.1.12.3.</t>
  </si>
  <si>
    <t>6.5.1.12.3.1.</t>
  </si>
  <si>
    <t>6.5.1.15.</t>
  </si>
  <si>
    <t>исследование грудного молока</t>
  </si>
  <si>
    <t>6.5.1.17.</t>
  </si>
  <si>
    <t>приготовление, окраска и микроскопирование препаратов, биологического материала:</t>
  </si>
  <si>
    <t>6.5.1.17.1.</t>
  </si>
  <si>
    <t>метиленовым синим</t>
  </si>
  <si>
    <t>6.5.1.17.2.</t>
  </si>
  <si>
    <t>по Граму</t>
  </si>
  <si>
    <t>6.5.1.18.</t>
  </si>
  <si>
    <t>определение чувствительности одного штамма микроорганизма к антибиотикам:</t>
  </si>
  <si>
    <t>6.5.1.18.1.</t>
  </si>
  <si>
    <t>диско-диффузионным методом к 6 препаратам</t>
  </si>
  <si>
    <t>6.5.2.5.</t>
  </si>
  <si>
    <t>РА на стекле:</t>
  </si>
  <si>
    <t>6.5.2.5.1.</t>
  </si>
  <si>
    <t>до 10 исследований одновременно</t>
  </si>
  <si>
    <t>6.5.2.5.2.</t>
  </si>
  <si>
    <t>на каждые последующие</t>
  </si>
  <si>
    <t>6.5.6.</t>
  </si>
  <si>
    <t>отдельные операции:</t>
  </si>
  <si>
    <t>6.5.6.1.</t>
  </si>
  <si>
    <t>пипетирование:</t>
  </si>
  <si>
    <t>6.5.6.1.1.</t>
  </si>
  <si>
    <t>стеклянными пипетками</t>
  </si>
  <si>
    <t>6.5.6.1.2.</t>
  </si>
  <si>
    <t>полуавтоматическими дозаторами</t>
  </si>
  <si>
    <t>6.5.6.5.</t>
  </si>
  <si>
    <t>взятие биологического материала с помощью транспортных сред, тампонов и др.</t>
  </si>
  <si>
    <t>2.</t>
  </si>
  <si>
    <t>Отбор проб, органолептические и физико-химические (санитарно-химические) исследования объектов окружающей среды:</t>
  </si>
  <si>
    <r>
      <t>определение общего количества мезофильных аэробных и факультативно анаэробных микроорганизмов в 1 г (см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rFont val="Times New Roman"/>
        <family val="1"/>
      </rPr>
      <t>) образца</t>
    </r>
  </si>
  <si>
    <t>6.</t>
  </si>
  <si>
    <t>Микробиологические исследования:</t>
  </si>
  <si>
    <t>общие методы микробиологических исследований:</t>
  </si>
  <si>
    <t>6.1.1.</t>
  </si>
  <si>
    <t>подготовительные работы, отдельные операции:</t>
  </si>
  <si>
    <t>"_____"  ________________2018 года</t>
  </si>
  <si>
    <t>6.1.1.1.</t>
  </si>
  <si>
    <t>прием и регистрация пробы</t>
  </si>
  <si>
    <t>6.5.1.2.</t>
  </si>
  <si>
    <t>оценка</t>
  </si>
  <si>
    <t>программа</t>
  </si>
  <si>
    <t>итоговый документ</t>
  </si>
  <si>
    <t>идентификация</t>
  </si>
  <si>
    <t>проба (образец)</t>
  </si>
  <si>
    <t>копия (дубликат)</t>
  </si>
  <si>
    <t>консультация</t>
  </si>
  <si>
    <t>занятие</t>
  </si>
  <si>
    <t>семинар (тренинг,занятие)</t>
  </si>
  <si>
    <t>аудит</t>
  </si>
  <si>
    <t>обследование (оценка)</t>
  </si>
  <si>
    <t>услуга</t>
  </si>
  <si>
    <t>измерение</t>
  </si>
  <si>
    <t>регистрация</t>
  </si>
  <si>
    <t>результат</t>
  </si>
  <si>
    <t>пипетирование</t>
  </si>
  <si>
    <t>4.9.</t>
  </si>
  <si>
    <t>измерение естественной или искусственной освещенности</t>
  </si>
  <si>
    <t>санитарно-гиг. Закл.</t>
  </si>
  <si>
    <r>
      <t>Повышающей коэффициент (Постановление МТ РБ от 27.11.2017 года №78</t>
    </r>
    <r>
      <rPr>
        <sz val="12"/>
        <rFont val="Times New Roman"/>
        <family val="1"/>
      </rPr>
      <t>)</t>
    </r>
  </si>
  <si>
    <t>Ставка 1 разряда на 01.10.2018 года  (Постановление СовМина №632 от 31.08.2018)</t>
  </si>
  <si>
    <t>доплата медработникам согласно (Постановление СовМина №632 от 31.08.2018)</t>
  </si>
  <si>
    <t>Тарифы планируемые к утверждению с 22.10. 2018 г.</t>
  </si>
  <si>
    <t>Утверждаемый с 22.10.2018 года, руб.</t>
  </si>
  <si>
    <t>пункт прейскуранта</t>
  </si>
  <si>
    <t>11.9.1.</t>
  </si>
  <si>
    <t>11.9.6.</t>
  </si>
  <si>
    <t>11.9.4.</t>
  </si>
  <si>
    <t>11.9.2.</t>
  </si>
  <si>
    <t>11.9.3.</t>
  </si>
  <si>
    <t>11.1.1.</t>
  </si>
  <si>
    <t>11.1.2.</t>
  </si>
  <si>
    <t>11.1.3.</t>
  </si>
  <si>
    <t>11.1.4.</t>
  </si>
  <si>
    <t>11.1.6.</t>
  </si>
  <si>
    <t>11.2.1.1.</t>
  </si>
  <si>
    <t>11.2.1.2.</t>
  </si>
  <si>
    <t>11.2.1.3.</t>
  </si>
  <si>
    <t>11.2.1.4.</t>
  </si>
  <si>
    <t>11.2.1.5.</t>
  </si>
  <si>
    <t>11.2.1.6.</t>
  </si>
  <si>
    <t>11.2.1.7.</t>
  </si>
  <si>
    <t>11.2.2.7</t>
  </si>
  <si>
    <t>11.2.2.8</t>
  </si>
  <si>
    <t>11.2.2.9</t>
  </si>
  <si>
    <t>11.2.2.10</t>
  </si>
  <si>
    <t>11.2.1.10.</t>
  </si>
  <si>
    <t>11.4.3.</t>
  </si>
  <si>
    <t>7.1.1.1.</t>
  </si>
  <si>
    <t>7.1.1.2б</t>
  </si>
  <si>
    <t>7.1.1.3.</t>
  </si>
  <si>
    <t>7.1.1.4.</t>
  </si>
  <si>
    <t>7.1.1.5.</t>
  </si>
  <si>
    <t>7.1.1.6.</t>
  </si>
  <si>
    <t>7.1.1.7.</t>
  </si>
  <si>
    <t>7.1.1.8.</t>
  </si>
  <si>
    <t>7.1.1.9.</t>
  </si>
  <si>
    <t>7.1.1.10.</t>
  </si>
  <si>
    <t>7.1.1.11.</t>
  </si>
  <si>
    <t>7.1.1.12.</t>
  </si>
  <si>
    <t>7.1.1.13.</t>
  </si>
  <si>
    <t>7.1.1.14.</t>
  </si>
  <si>
    <t>7.1.1.17.</t>
  </si>
  <si>
    <t>7.1.1.20.</t>
  </si>
  <si>
    <t>7.1.1.23.</t>
  </si>
  <si>
    <t>7.1.2.1.</t>
  </si>
  <si>
    <t>7.1.2.2.</t>
  </si>
  <si>
    <t>7.1.2.34.</t>
  </si>
  <si>
    <t>7.1.2.46.</t>
  </si>
  <si>
    <t>7.1.2.48</t>
  </si>
  <si>
    <t>11.9.5.</t>
  </si>
  <si>
    <t>1.4.1.35.</t>
  </si>
  <si>
    <t>1.4.1.26.3.</t>
  </si>
  <si>
    <t>1.4.1.24.</t>
  </si>
  <si>
    <t>1.4.1.40.</t>
  </si>
  <si>
    <t>1.4.1.67.</t>
  </si>
  <si>
    <t>1.4.2.4.</t>
  </si>
  <si>
    <t>1.4.2.10.</t>
  </si>
  <si>
    <t>1.4.1.81</t>
  </si>
  <si>
    <t>1.4.1.82</t>
  </si>
  <si>
    <t>1.4.1.83</t>
  </si>
  <si>
    <t>1.4.1.26.2</t>
  </si>
  <si>
    <t>1.4.1.32.</t>
  </si>
  <si>
    <t>1.4.2.1.</t>
  </si>
  <si>
    <t>1.4.2.45.</t>
  </si>
  <si>
    <t>1.4.2.46.</t>
  </si>
  <si>
    <t>1.4.2.47.</t>
  </si>
  <si>
    <t>1.4.2.52.</t>
  </si>
  <si>
    <t>1.4.2.57.</t>
  </si>
  <si>
    <t>1.4.2.58.</t>
  </si>
  <si>
    <t>1.4.1.11.2.</t>
  </si>
  <si>
    <t>2.9.</t>
  </si>
  <si>
    <t>2.18.</t>
  </si>
  <si>
    <t>6.5.2.</t>
  </si>
  <si>
    <t>5.6.4.</t>
  </si>
  <si>
    <t>5.6.6.</t>
  </si>
  <si>
    <t>3.3.1.1.</t>
  </si>
  <si>
    <t>3.1.6.1.+ 3.1.6.3</t>
  </si>
  <si>
    <t>3.1.6.2</t>
  </si>
  <si>
    <t>3.1.6.4.</t>
  </si>
  <si>
    <t>3.3.1.2</t>
  </si>
  <si>
    <t>3.3.1.5.</t>
  </si>
  <si>
    <t>3.3.1.6.</t>
  </si>
  <si>
    <t>3.3.1.7.</t>
  </si>
  <si>
    <t>3.3.1.8.</t>
  </si>
  <si>
    <t>3.3.1.9</t>
  </si>
  <si>
    <t>3.3.1.10</t>
  </si>
  <si>
    <t>3.3.1.13</t>
  </si>
  <si>
    <t>3.3.1.16.</t>
  </si>
  <si>
    <t>3.3.1.44.</t>
  </si>
  <si>
    <t>3.3.1.38.</t>
  </si>
  <si>
    <t>3.3.1.45.</t>
  </si>
  <si>
    <t>3.3.1.41.</t>
  </si>
  <si>
    <t>3.3.1.42.</t>
  </si>
  <si>
    <t>3.1.1.13.</t>
  </si>
  <si>
    <t>определение степени окисления фритюрного жира</t>
  </si>
  <si>
    <t>2.2.1.38.</t>
  </si>
  <si>
    <t>7.1.1.44.</t>
  </si>
  <si>
    <t>1.4.1.20</t>
  </si>
  <si>
    <t>11.2.2.1.</t>
  </si>
  <si>
    <t>11.3.4.</t>
  </si>
  <si>
    <t>п3.3.1.35-3.3.1.37</t>
  </si>
  <si>
    <t>11.4.4.</t>
  </si>
  <si>
    <t>3.1.2.1.-3.1.2.15</t>
  </si>
  <si>
    <t>6.3.1.16.</t>
  </si>
  <si>
    <t>контроль стерильности лекарственных средств, изделий медицинского ииного назначения, прочих медицинских препаратов</t>
  </si>
  <si>
    <t>3.3.1.20.</t>
  </si>
  <si>
    <t>3.3.1.14.</t>
  </si>
  <si>
    <t>3.3.1.2.</t>
  </si>
  <si>
    <t xml:space="preserve">действующий с 01.12.2017 года по Пост №194 </t>
  </si>
  <si>
    <t>11.4.2.</t>
  </si>
  <si>
    <t>Врач-гигиенист</t>
  </si>
  <si>
    <t>Б.В.Давыдов</t>
  </si>
  <si>
    <t>аналог имеющегося тарифа согласно действующего прейскуранта по Пост. 194 утвержденного приказом по учреждению №13-А от 30.11.2017</t>
  </si>
  <si>
    <t>Наименование платной  санитарно-эпидемиологические услуги</t>
  </si>
  <si>
    <t xml:space="preserve">№ пункта </t>
  </si>
  <si>
    <t>4.2.1.1.,11.9.5.</t>
  </si>
  <si>
    <t>Врач-лаборант</t>
  </si>
  <si>
    <t>Н.В.Самбук</t>
  </si>
  <si>
    <t>Врач-бактериолог (заведующая лабораторным отделом)</t>
  </si>
  <si>
    <t>И.К.Трушкина</t>
  </si>
  <si>
    <r>
      <rPr>
        <b/>
        <sz val="12"/>
        <rFont val="Times New Roman"/>
        <family val="1"/>
      </rPr>
      <t xml:space="preserve">Перечнь </t>
    </r>
    <r>
      <rPr>
        <sz val="12"/>
        <rFont val="Times New Roman"/>
        <family val="1"/>
      </rPr>
      <t xml:space="preserve"> оказываемых услуг </t>
    </r>
    <r>
      <rPr>
        <b/>
        <sz val="12"/>
        <rFont val="Times New Roman"/>
        <family val="1"/>
      </rPr>
      <t>отделом гигиены, отделом эпидемиологии</t>
    </r>
    <r>
      <rPr>
        <sz val="12"/>
        <rFont val="Times New Roman"/>
        <family val="1"/>
      </rPr>
      <t xml:space="preserve"> по постановлению Министерства здравоохранения Республики Беларусь от 27.06.2018 N 58 "Об установлении норм времени и норм расхода материалов на платные санитарно-эпидемиологические услуги, оказываемые в установленном порядке организациям, физическим лицам, в том числе индивидуальным предпринимателям" </t>
    </r>
  </si>
  <si>
    <r>
      <rPr>
        <b/>
        <sz val="12"/>
        <rFont val="Times New Roman"/>
        <family val="1"/>
      </rPr>
      <t xml:space="preserve">Перечнь </t>
    </r>
    <r>
      <rPr>
        <sz val="12"/>
        <rFont val="Times New Roman"/>
        <family val="1"/>
      </rPr>
      <t xml:space="preserve"> проводимых исследований  </t>
    </r>
    <r>
      <rPr>
        <b/>
        <sz val="12"/>
        <rFont val="Times New Roman"/>
        <family val="1"/>
      </rPr>
      <t xml:space="preserve">отделением санитарно-гигиенических исследований </t>
    </r>
    <r>
      <rPr>
        <sz val="12"/>
        <rFont val="Times New Roman"/>
        <family val="1"/>
      </rPr>
      <t xml:space="preserve">по постановлению Министерства здравоохранения Республики Беларусь от 27.06.2018 N 58 "Об установлении норм времени и норм расхода материалов на платные санитарно-эпидемиологические услуги, оказываемые в установленном порядке организациям, физическим лицам, в том числе индивидуальным предпринимателям" </t>
    </r>
  </si>
  <si>
    <r>
      <rPr>
        <b/>
        <sz val="12"/>
        <rFont val="Times New Roman"/>
        <family val="1"/>
      </rPr>
      <t xml:space="preserve">Перечнь </t>
    </r>
    <r>
      <rPr>
        <sz val="12"/>
        <rFont val="Times New Roman"/>
        <family val="1"/>
      </rPr>
      <t xml:space="preserve"> проводимых исследований </t>
    </r>
    <r>
      <rPr>
        <b/>
        <sz val="12"/>
        <rFont val="Times New Roman"/>
        <family val="1"/>
      </rPr>
      <t>микробиологической лабораторией</t>
    </r>
    <r>
      <rPr>
        <sz val="12"/>
        <rFont val="Times New Roman"/>
        <family val="1"/>
      </rPr>
      <t xml:space="preserve"> по постановлению Министерства здравоохранения Республики Беларусь от 27.06.2018 N 58 "Об установлении норм времени и норм расхода материалов на платные санитарно-эпидемиологические услуги, оказываемые в установленном порядке организациям, физическим лицам, в том числе индивидуальным предпринимателям" </t>
    </r>
  </si>
  <si>
    <t>в учреждении здравоохранения «Кричевский районный центр гигиены и эпидемиологии»</t>
  </si>
  <si>
    <t>Т.Ю. Бричикова</t>
  </si>
  <si>
    <t>Главный врач УЗ "Кричевский районный</t>
  </si>
  <si>
    <t>__________________Е.В. Мешкова</t>
  </si>
  <si>
    <t>Дополнительная зарплата : 10,35%</t>
  </si>
  <si>
    <t>Накладные расходы : 109,77 %</t>
  </si>
  <si>
    <t>1.13.3.</t>
  </si>
  <si>
    <t>гигиеническое обучение декретированных контингентов (включая оценку знаний) 1 человек</t>
  </si>
  <si>
    <t>2.1.</t>
  </si>
  <si>
    <t>воздух:</t>
  </si>
  <si>
    <t>2.1.1.</t>
  </si>
  <si>
    <t>воздух атмосферы, жилых, общественных, административных и бытовых помещений:</t>
  </si>
  <si>
    <t>2.1.1.1.2.</t>
  </si>
  <si>
    <t>определение диоксида азота (СФМ, на сорбционные трубки)</t>
  </si>
  <si>
    <t>Дополнительная зарплата :10,35%</t>
  </si>
  <si>
    <t>1.1.2.55</t>
  </si>
  <si>
    <t>2.1.1.31.4.</t>
  </si>
  <si>
    <t>определение диоксида серы (СФМ с хлоридом бария)</t>
  </si>
  <si>
    <t>1.1.2.58</t>
  </si>
  <si>
    <t>2.1.1.70</t>
  </si>
  <si>
    <t xml:space="preserve">определение пыли (взвешенных веществ) </t>
  </si>
  <si>
    <t>1.1.2.67</t>
  </si>
  <si>
    <t>2.1.1.87</t>
  </si>
  <si>
    <t xml:space="preserve">определение оксида углерода (электро-химический метод) </t>
  </si>
  <si>
    <t>1.1.2.111</t>
  </si>
  <si>
    <t>2.1.2.199.</t>
  </si>
  <si>
    <t>экспресс-измерение электрохимическим детектором на газоанализаторе Колион-1В-02: аммиак; ацетон; бутан; бензин; бутилацетат; бензол; винилацетат; гексан; гептан; керосин; диэтиловый эфир; ксилол; метилацетат метилэтилкетон; нефрас; н-октан; пропилен; пентан; углеводороды нефти; стирол; толуол; тетрахлорэтилен; трихлорэтилен; уайт-спирит; хлорбензол; хлортолуол; этанол; циклогексан; этилен; этилацетат; этилбензол; оксид углерода; диэтиламин; сероуглерод; сероводород; (одно вещество)</t>
  </si>
  <si>
    <t>2.1.2.201</t>
  </si>
  <si>
    <t xml:space="preserve">оформление протокола результатов испытаний </t>
  </si>
  <si>
    <t>2.1.2.202</t>
  </si>
  <si>
    <t xml:space="preserve">учет поступления образца в лабораторию </t>
  </si>
  <si>
    <t>2.1.2.</t>
  </si>
  <si>
    <t>воздух рабочей зоны:</t>
  </si>
  <si>
    <t>определение двуокиси серы (сернистый ангидрид) (СФМ, ФЭК)</t>
  </si>
  <si>
    <t>2.1.2.14.2</t>
  </si>
  <si>
    <t>1.1.1.53.</t>
  </si>
  <si>
    <t>2.1.2.23.1</t>
  </si>
  <si>
    <t>определение диоксида азота (СФМ, ФЭК)</t>
  </si>
  <si>
    <t>1.1.1.20.</t>
  </si>
  <si>
    <t>2.1.2.25.1</t>
  </si>
  <si>
    <t>определение аммиака (СФМ, ФЭК)</t>
  </si>
  <si>
    <t>1.1.1.25.</t>
  </si>
  <si>
    <t>2.1.2.54.2</t>
  </si>
  <si>
    <t>определение марганца (СФМ, ФЭК)</t>
  </si>
  <si>
    <t>1.1.1.70.</t>
  </si>
  <si>
    <t>2.1.2.56.1</t>
  </si>
  <si>
    <t>определение серной кислоты (СФМ, ФЭК)</t>
  </si>
  <si>
    <t>1.1.1.72.</t>
  </si>
  <si>
    <t>2.1.2.181.1</t>
  </si>
  <si>
    <t>измерение запыленности воздуха (гравиметрический метод)</t>
  </si>
  <si>
    <t>1.1.1.312.</t>
  </si>
  <si>
    <t>2.2.1.18.2.</t>
  </si>
  <si>
    <t>определение фтора (ионометрия)</t>
  </si>
  <si>
    <t>7.1.1.21.</t>
  </si>
  <si>
    <t>2.2.1.29.</t>
  </si>
  <si>
    <t>определение цинка:</t>
  </si>
  <si>
    <t>2.2.1.29.1.</t>
  </si>
  <si>
    <t>определение цинка (ФЭК)</t>
  </si>
  <si>
    <t>7.1.1.52.</t>
  </si>
  <si>
    <t>2.2.1.41.1</t>
  </si>
  <si>
    <t>определение молибдена (ФЭК)</t>
  </si>
  <si>
    <t>7.1.1.48.</t>
  </si>
  <si>
    <t>2.2.1.66.</t>
  </si>
  <si>
    <t>определение 2,4-дихлорфеноксиуксусной кислоты:</t>
  </si>
  <si>
    <t>2.2.1.66.1</t>
  </si>
  <si>
    <t>определение 2,4-дихлорфеноксиуксусной кислоты (ТСХ)</t>
  </si>
  <si>
    <t>1.4.3.5.1</t>
  </si>
  <si>
    <t>2.2.2.3.</t>
  </si>
  <si>
    <t>определение растворенного кислорода:</t>
  </si>
  <si>
    <t>2.2.2.3.1.</t>
  </si>
  <si>
    <t>определение растворенного кислорода (титриметрический метод)</t>
  </si>
  <si>
    <t>7.1.2.3.</t>
  </si>
  <si>
    <t>2.2.2.4.</t>
  </si>
  <si>
    <t>определение биологического потребления кислорода (далее - БПК):</t>
  </si>
  <si>
    <t>2.2.2.4.1.</t>
  </si>
  <si>
    <t>определение БПК (титриметрический метод)</t>
  </si>
  <si>
    <t>7.1.2.4.</t>
  </si>
  <si>
    <t>2.2.2.34.</t>
  </si>
  <si>
    <t>11.3.1.</t>
  </si>
  <si>
    <t>11.3.3.</t>
  </si>
  <si>
    <t>7.1.2.45.</t>
  </si>
  <si>
    <t>определение растворенного кислорода (титриметрический метод)определение хлоридов (титриметрический метод с серебром азотнокислым)</t>
  </si>
  <si>
    <t>7.1.2.48.</t>
  </si>
  <si>
    <t>7.1.2.62.</t>
  </si>
  <si>
    <t>7.1.2.63.</t>
  </si>
  <si>
    <t>7.1.1.1</t>
  </si>
  <si>
    <t>7.1.1.5</t>
  </si>
  <si>
    <t>7.1.1.9</t>
  </si>
  <si>
    <t>3.1.1.14.</t>
  </si>
  <si>
    <t>определение щелочности</t>
  </si>
  <si>
    <t>3.1.1.14.1</t>
  </si>
  <si>
    <t>определение щелочности в мучных кондитерских изделиях</t>
  </si>
  <si>
    <t>1.4.1.21.</t>
  </si>
  <si>
    <t>3.1.1.15.1</t>
  </si>
  <si>
    <t>определение редуцирующих веществ (сахара до инверсии) в кондитерских изделиях (йодометрический метод)</t>
  </si>
  <si>
    <t>1.4.1.22.2.</t>
  </si>
  <si>
    <t>3.1.1.15.</t>
  </si>
  <si>
    <t>определение редуцирующих веществ:</t>
  </si>
  <si>
    <t>1.4.2.63.2</t>
  </si>
  <si>
    <t>1.4.1.61</t>
  </si>
  <si>
    <t>3.1.1.22.</t>
  </si>
  <si>
    <t>определение воды в меде</t>
  </si>
  <si>
    <t>1.4.1.29.</t>
  </si>
  <si>
    <t>3.1.1.23.</t>
  </si>
  <si>
    <t>определение оксиметилфурфурола</t>
  </si>
  <si>
    <t>3.1.1.23.1.</t>
  </si>
  <si>
    <t>определение оксиметилфурфурола в меде (качественная реакция)</t>
  </si>
  <si>
    <t>1.4.1.30.</t>
  </si>
  <si>
    <t>3.1.1.24</t>
  </si>
  <si>
    <t>определение диастазного числа в меде</t>
  </si>
  <si>
    <t>1.4.1.70.</t>
  </si>
  <si>
    <t>3.1.1.54</t>
  </si>
  <si>
    <t>определение пористости хлебобулочных изделий</t>
  </si>
  <si>
    <t>1.4.1.78.</t>
  </si>
  <si>
    <t>1.4.2.32.</t>
  </si>
  <si>
    <t>3.1.1.96.</t>
  </si>
  <si>
    <t>определение показателя преломления</t>
  </si>
  <si>
    <t>1.4.2.5.</t>
  </si>
  <si>
    <t>3.1.1.97.</t>
  </si>
  <si>
    <t>определение растворимых сухих веществ</t>
  </si>
  <si>
    <t>1.4.2.6.</t>
  </si>
  <si>
    <t>3.1.3.9.</t>
  </si>
  <si>
    <t>определение хлорорганических пестицидов</t>
  </si>
  <si>
    <t>3.1.3.9.1</t>
  </si>
  <si>
    <t>3.1.3.9.2</t>
  </si>
  <si>
    <t>3.1.3.9.3</t>
  </si>
  <si>
    <t>3.1.3.9.4</t>
  </si>
  <si>
    <t>определение хлорорганических пестицидов в муке, зернобобовых, хлебобулочных, крупе, мясо- и рыбопродуктах (ТСХ)</t>
  </si>
  <si>
    <t>определение хлорорганических пестицидов в плодоовощной продукции (ТСХ)</t>
  </si>
  <si>
    <t>определение хлорорганических пестицидов в молочной продукции (ТСХ)</t>
  </si>
  <si>
    <t>определение хлорорганических пестицидов в кондитерских изделиях, меде (ТСХ)</t>
  </si>
  <si>
    <t>1.4.3.9.1.</t>
  </si>
  <si>
    <t>1.4.3.9.2.</t>
  </si>
  <si>
    <t>1.4.3.9.3.</t>
  </si>
  <si>
    <t>1.4.3.9.4.</t>
  </si>
  <si>
    <t>3.1.4.3.</t>
  </si>
  <si>
    <t>определение мышьяка (КФК)</t>
  </si>
  <si>
    <t>1.4.4.6.</t>
  </si>
  <si>
    <t>3.1.4.5.2.</t>
  </si>
  <si>
    <t>определение ртути (колориметрическим методом)</t>
  </si>
  <si>
    <t>1.4.4.11.</t>
  </si>
  <si>
    <t>4.1.</t>
  </si>
  <si>
    <t>4.3.</t>
  </si>
  <si>
    <t>4.8.</t>
  </si>
  <si>
    <t>4.16.</t>
  </si>
  <si>
    <t>4.17.</t>
  </si>
  <si>
    <t>4.18.</t>
  </si>
  <si>
    <t>4.25.</t>
  </si>
  <si>
    <t>измерение напряженности электростатического поля</t>
  </si>
  <si>
    <t>измерение напряженности электрической или магнитной составляющей электромагнитного поля промышленной частоты</t>
  </si>
  <si>
    <t>измерение ультрафиолетового спектра излучения</t>
  </si>
  <si>
    <t>измерение эквивалентного и максимального уровней звука</t>
  </si>
  <si>
    <t>измерение корректированного и спектральных уровней вибрации в октавных (третьоктавных) полосах частот</t>
  </si>
  <si>
    <t>измерение эквивалентных корректированного и спектральных уровней вибрации в октавных (третьоктавных) полосах частот</t>
  </si>
  <si>
    <t>оформление протокола исследований (измерений)</t>
  </si>
  <si>
    <t>2.3.</t>
  </si>
  <si>
    <t>2.8.</t>
  </si>
  <si>
    <t>2.13.</t>
  </si>
  <si>
    <t>2.16.</t>
  </si>
  <si>
    <t>2.17.</t>
  </si>
  <si>
    <t>1.11.1.</t>
  </si>
  <si>
    <t>гигиеническое заключение по результатам лабораторных испытаний, измерений</t>
  </si>
  <si>
    <t>заключение</t>
  </si>
  <si>
    <t>1.3.</t>
  </si>
  <si>
    <t>выдача заключения о целесообразности проведения лабораторных исследований</t>
  </si>
  <si>
    <t>1.12.6.</t>
  </si>
  <si>
    <t>в определении соответствия требованиям законодательства в области санитарно-эпидемиологического благополучия населения продукции (за исключением продукции, подлежащей государственной регистрации)</t>
  </si>
  <si>
    <t>11.1.5.</t>
  </si>
  <si>
    <t>1.18.1.</t>
  </si>
  <si>
    <t>проектов технических описаний, рецептур на продукцию, технологических инструкций (на 1 разработанный документ)</t>
  </si>
  <si>
    <t>11.2.2.4</t>
  </si>
  <si>
    <t>оценка психофизиологических факторов производственной   среды:</t>
  </si>
  <si>
    <t>Примечание: В тарифах не учтена стоимость лекарственных средств, изделий медицинского назначения и других материалов, которые заказчиком оплачиваются дополнительно.</t>
  </si>
  <si>
    <t>3.1.1.5</t>
  </si>
  <si>
    <t>3.1.1.1</t>
  </si>
  <si>
    <t>3.1.4.1</t>
  </si>
  <si>
    <t>3.1.6.3.                     3.1.6.4. 3.1.6.7.</t>
  </si>
  <si>
    <t>3.1.6.6.</t>
  </si>
  <si>
    <t>3.3.1.17.</t>
  </si>
  <si>
    <t>6.3.1.26.</t>
  </si>
  <si>
    <t>определение колифагов в воде прямым методом</t>
  </si>
  <si>
    <t>3.3.1.18.</t>
  </si>
  <si>
    <t>6.3.1.17.</t>
  </si>
  <si>
    <t>определение иерсиний в определенном количестве образца</t>
  </si>
  <si>
    <t>3.3.1.32.</t>
  </si>
  <si>
    <t>3.3.1.37</t>
  </si>
  <si>
    <t>3.3.1.43.</t>
  </si>
  <si>
    <t>6.3.1.27.</t>
  </si>
  <si>
    <t>обнаружение спор сульфитредуцирующих клостридий в воде:</t>
  </si>
  <si>
    <t>6.3.1.27.3.</t>
  </si>
  <si>
    <t>прямым посевом</t>
  </si>
  <si>
    <t>3.2.1.1</t>
  </si>
  <si>
    <t>6.3.1.47.</t>
  </si>
  <si>
    <t>6.3.1.48.</t>
  </si>
  <si>
    <t>6.3.1.49.</t>
  </si>
  <si>
    <t>6.3.1.50.1.</t>
  </si>
  <si>
    <t>6.3.1.50.2.</t>
  </si>
  <si>
    <t>6.3.1.51.1.</t>
  </si>
  <si>
    <t>6.3.1.51.2.</t>
  </si>
  <si>
    <t>определение БГКП в почве</t>
  </si>
  <si>
    <t>определение общего микробного числа (далее - ОМЧ) в почве</t>
  </si>
  <si>
    <t>определение количества энтерококков в почве</t>
  </si>
  <si>
    <t>6.3.1.50.</t>
  </si>
  <si>
    <t>определение C.perfringens в почве:</t>
  </si>
  <si>
    <t>6.3.1.61.</t>
  </si>
  <si>
    <t>6.3.1.51.</t>
  </si>
  <si>
    <t>определение наличия патогенных микроорганизмов, в том числе сальмонелл в почве:</t>
  </si>
  <si>
    <t>определение микробиологической чистоты дезинфекционных и антисептических средств</t>
  </si>
  <si>
    <t>3.2.1.11</t>
  </si>
  <si>
    <t>3.2.1.8</t>
  </si>
  <si>
    <t>3.2.1.29</t>
  </si>
  <si>
    <t>3.2.1.28</t>
  </si>
  <si>
    <t>5.6.3.</t>
  </si>
  <si>
    <t>5.6.5.</t>
  </si>
  <si>
    <t>6.5.1.7.1.</t>
  </si>
  <si>
    <t>исследования на аэробные и факультативно-анаэробные микроорганизмы в гное, отделяемом ран, дренажей, абсцессов, в транссудатах, экссудатах:</t>
  </si>
  <si>
    <t>6.5.1.7.</t>
  </si>
  <si>
    <t>6.5.1.7.2.</t>
  </si>
  <si>
    <t xml:space="preserve">культуральное исследование при отсутствии микроорганизмов </t>
  </si>
  <si>
    <t>6.5.1.7.3.</t>
  </si>
  <si>
    <t>6.5.1.7.3.1.</t>
  </si>
  <si>
    <t>6.5.1.9.</t>
  </si>
  <si>
    <t>исследование на аэробные и факультативно-анаэробные микроорганизмы в желчи:</t>
  </si>
  <si>
    <t>6.5.1.9.1.</t>
  </si>
  <si>
    <t>6.5.1.9.2.</t>
  </si>
  <si>
    <t>3.2.1.6.</t>
  </si>
  <si>
    <t>3.2.1.6</t>
  </si>
  <si>
    <t>6.5.1.9.3.</t>
  </si>
  <si>
    <t>6.5.1.9.3.1.</t>
  </si>
  <si>
    <t>6.5.1.10.</t>
  </si>
  <si>
    <t>6.5.1.10.1.</t>
  </si>
  <si>
    <t>исследования на аэробные и факультативно-анаэробные микроорганизмы в отделяемом урогенитального тракта (уретра, половые органы):</t>
  </si>
  <si>
    <t>3.2.1.10.</t>
  </si>
  <si>
    <t>6.5.1.10.2.</t>
  </si>
  <si>
    <t>6.5.1.10.2.1</t>
  </si>
  <si>
    <t>6.5.1.10.2.2</t>
  </si>
  <si>
    <t xml:space="preserve">1-2 культурыв </t>
  </si>
  <si>
    <t>6.5.1.10.3.</t>
  </si>
  <si>
    <t>6.5.1.10.3.1</t>
  </si>
  <si>
    <t>6.5.1.11.1</t>
  </si>
  <si>
    <t>6.5.1.11.</t>
  </si>
  <si>
    <t>6.5.1.11.2</t>
  </si>
  <si>
    <t>исследования на аэробные и факультативно-анаэробные микроорганизмы в отделяемом органов чувств (глаз, ухо):</t>
  </si>
  <si>
    <t>3.2.1.9.</t>
  </si>
  <si>
    <t>6.5.1.11.3.</t>
  </si>
  <si>
    <t>6.5.1.11.3.1.</t>
  </si>
  <si>
    <t>6.5.5.</t>
  </si>
  <si>
    <t>6.5.5.1.</t>
  </si>
  <si>
    <t>6.5.5.2.</t>
  </si>
  <si>
    <t>6.5.5.2.1.</t>
  </si>
  <si>
    <t>6.5.5.2.2.</t>
  </si>
  <si>
    <t>6.5.5.2.5.</t>
  </si>
  <si>
    <t>6.5.5.3.</t>
  </si>
  <si>
    <t>6.5.5.3.1.</t>
  </si>
  <si>
    <t>6.5.5.4.</t>
  </si>
  <si>
    <t>6.5.5.4.1.</t>
  </si>
  <si>
    <t>6.5.5.5.</t>
  </si>
  <si>
    <t>6.5.5.5.1.</t>
  </si>
  <si>
    <t>6.5.5.7.</t>
  </si>
  <si>
    <t>6.5.5.7.1.</t>
  </si>
  <si>
    <t>6.5.5.7.2.</t>
  </si>
  <si>
    <t xml:space="preserve">паразитологические исследования по диагностике и мониторингу инфекционных заболеваний:  </t>
  </si>
  <si>
    <t>обнаружение простейших</t>
  </si>
  <si>
    <t xml:space="preserve">обнаружение яиц гельминтов:  </t>
  </si>
  <si>
    <t>методом Като (1 препарат)</t>
  </si>
  <si>
    <t>формалин-эфирным методом</t>
  </si>
  <si>
    <t>обнаружение анкилостом</t>
  </si>
  <si>
    <t>исследование перианального соскоба на яйца остриц и онкосферы тениид:</t>
  </si>
  <si>
    <t>методом липкой ленты</t>
  </si>
  <si>
    <t>исследование кала на криптоспоридии:</t>
  </si>
  <si>
    <t>исследование кала на криптоспоридии методом микроскопии</t>
  </si>
  <si>
    <t>исследование кала на лямблиоз:</t>
  </si>
  <si>
    <t>обнаружение цист лямблий в кале</t>
  </si>
  <si>
    <t>исследование крови на малярийные паразиты:</t>
  </si>
  <si>
    <t>с приготовлением толстой капли (1 препарат)</t>
  </si>
  <si>
    <t>в окрашенном мазке (1 препарат)</t>
  </si>
  <si>
    <t>5.7.2.</t>
  </si>
  <si>
    <t>5.7.3.</t>
  </si>
  <si>
    <t>5.7.4.</t>
  </si>
  <si>
    <t>5.7.1.</t>
  </si>
  <si>
    <t xml:space="preserve">на санитарно-гигиенические, токсикологические и микробиологические исследования, оказываемые </t>
  </si>
  <si>
    <t>Учреждением здравоохранения "Кричевский районный центр гигиены и эпидемиологии"</t>
  </si>
  <si>
    <t>213500 Могилевская область, г. Кричев ул. Ленинская, 30</t>
  </si>
  <si>
    <t>6.3.1.10.</t>
  </si>
  <si>
    <t>установление промышленной стерильности консервов: определение мезофильных аэробных, факультативно-анаэробных и анаэробных микроорганизмов в 1г образца</t>
  </si>
  <si>
    <t>6.3.1.12.</t>
  </si>
  <si>
    <t>определение наличия P. aeruginosa в определенном объеме образца</t>
  </si>
  <si>
    <t>3.3.1.41</t>
  </si>
  <si>
    <t>3.3.1.42</t>
  </si>
  <si>
    <t>измерения напряженности электрического поля</t>
  </si>
  <si>
    <t xml:space="preserve">установление промышленной стерилности консервов : определение мезофильных аэробных ,факультативно-анаэробных микроорганизмов в 1г.образца </t>
  </si>
  <si>
    <t>определения наличия P.aeruginosa в определенном объеме образца</t>
  </si>
  <si>
    <t>выявление LISTERIA monocutogenes в определенном количестве образца:</t>
  </si>
  <si>
    <t>6.3.1.27.3</t>
  </si>
  <si>
    <t>при выделении микроаргонизмов класическим методом</t>
  </si>
  <si>
    <t>6.3.1.76</t>
  </si>
  <si>
    <t xml:space="preserve">контроль работы дезкамер бактериологическим методом </t>
  </si>
  <si>
    <t>6.5.5.7.1</t>
  </si>
  <si>
    <t>6.5.5.7.2</t>
  </si>
  <si>
    <t>с орашиванием мазке (1 препарат)</t>
  </si>
  <si>
    <t>в определениия требования законодательства в области санитарно-эпидемиологического благополучия населения (за исключением продукции , подлежащей государственной регистрации</t>
  </si>
  <si>
    <t>1.18.1</t>
  </si>
  <si>
    <t>проектов технических описаний, рецептур на продукцию,технологических инструкций (на 1 разработанный документ)</t>
  </si>
  <si>
    <t>воздух :</t>
  </si>
  <si>
    <t>воздух рабочей зоны :</t>
  </si>
  <si>
    <t>2.2.1.29.1</t>
  </si>
  <si>
    <t>3.1.1.15.1.</t>
  </si>
  <si>
    <t>3.1.1.54.</t>
  </si>
  <si>
    <t>определение поритости хлебобудочных изделий</t>
  </si>
  <si>
    <t>3.1.1.24.</t>
  </si>
  <si>
    <t>определение 2,4-дихлорфеноксиуксусной кислоты(ТСХ)</t>
  </si>
  <si>
    <t>В.А.Кабетова</t>
  </si>
  <si>
    <t>О.Ю.Янковская</t>
  </si>
  <si>
    <t xml:space="preserve">                                ПРЕЙСКУРАНТ ЦЕН </t>
  </si>
  <si>
    <t>Главный врач</t>
  </si>
  <si>
    <t>_______________Е.В.Мешкова</t>
  </si>
  <si>
    <t>1.35</t>
  </si>
  <si>
    <t>Получение санитарно-гигиенического заключения по градостроительному проекту,изменениям и (или)дополнениям, вносимым в него</t>
  </si>
  <si>
    <t>6.3.1.78</t>
  </si>
  <si>
    <t>Определение устойчивости бактерий к дезинфектатнам с использованием тест-системы</t>
  </si>
  <si>
    <t>(Утвержденный приказом  №4 П  от  29.01.2024  года)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</si>
</sst>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"/>
    <numFmt numFmtId="180" formatCode="0.00000"/>
    <numFmt numFmtId="181" formatCode="0.0000"/>
    <numFmt numFmtId="182" formatCode="0.000"/>
    <numFmt numFmtId="183" formatCode="[$-FC19]d\ mmmm\ yyyy\ &quot;г.&quot;"/>
    <numFmt numFmtId="184" formatCode="#,##0.00&quot;р.&quot;"/>
  </numFmts>
  <fonts count="8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8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i/>
      <sz val="8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0"/>
      <color indexed="9"/>
      <name val="Arial Cyr"/>
      <family val="0"/>
    </font>
    <font>
      <i/>
      <sz val="10"/>
      <color indexed="9"/>
      <name val="Arial Cyr"/>
      <family val="0"/>
    </font>
    <font>
      <sz val="8"/>
      <color indexed="9"/>
      <name val="Arial Cyr"/>
      <family val="0"/>
    </font>
    <font>
      <i/>
      <sz val="8"/>
      <color indexed="9"/>
      <name val="Arial Cyr"/>
      <family val="0"/>
    </font>
    <font>
      <sz val="11"/>
      <name val="Arial Cyr"/>
      <family val="2"/>
    </font>
    <font>
      <i/>
      <sz val="9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Arial Cyr"/>
      <family val="0"/>
    </font>
    <font>
      <sz val="7"/>
      <color indexed="56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color indexed="10"/>
      <name val="Arial Cyr"/>
      <family val="2"/>
    </font>
    <font>
      <b/>
      <sz val="8"/>
      <color indexed="10"/>
      <name val="Arial Cyr"/>
      <family val="2"/>
    </font>
    <font>
      <b/>
      <sz val="12"/>
      <color indexed="8"/>
      <name val="Times New Roman"/>
      <family val="1"/>
    </font>
    <font>
      <b/>
      <sz val="10"/>
      <color indexed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rgb="FFFF0000"/>
      <name val="Arial Cyr"/>
      <family val="2"/>
    </font>
    <font>
      <b/>
      <sz val="8"/>
      <color rgb="FFFF0000"/>
      <name val="Arial Cyr"/>
      <family val="2"/>
    </font>
    <font>
      <b/>
      <sz val="12"/>
      <color theme="1"/>
      <name val="Times New Roman"/>
      <family val="1"/>
    </font>
    <font>
      <b/>
      <sz val="10"/>
      <color theme="0"/>
      <name val="Arial Cyr"/>
      <family val="0"/>
    </font>
    <font>
      <sz val="9"/>
      <color theme="1"/>
      <name val="Times New Roman"/>
      <family val="1"/>
    </font>
    <font>
      <sz val="9"/>
      <color theme="1"/>
      <name val="Arial Cyr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5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0" xfId="0" applyAlignment="1">
      <alignment horizontal="right"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 vertical="top"/>
    </xf>
    <xf numFmtId="0" fontId="5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7" fillId="0" borderId="0" xfId="0" applyFont="1" applyBorder="1" applyAlignment="1">
      <alignment/>
    </xf>
    <xf numFmtId="1" fontId="7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right"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4" fillId="0" borderId="16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14" fillId="0" borderId="17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18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4" fillId="0" borderId="20" xfId="0" applyFont="1" applyBorder="1" applyAlignment="1">
      <alignment horizontal="right"/>
    </xf>
    <xf numFmtId="0" fontId="14" fillId="0" borderId="21" xfId="0" applyFont="1" applyBorder="1" applyAlignment="1">
      <alignment horizontal="left"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6" fillId="0" borderId="23" xfId="0" applyFont="1" applyBorder="1" applyAlignment="1">
      <alignment horizontal="center"/>
    </xf>
    <xf numFmtId="173" fontId="16" fillId="0" borderId="23" xfId="0" applyNumberFormat="1" applyFont="1" applyBorder="1" applyAlignment="1">
      <alignment horizontal="center"/>
    </xf>
    <xf numFmtId="10" fontId="16" fillId="0" borderId="23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4" fillId="0" borderId="23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73" fontId="7" fillId="0" borderId="0" xfId="0" applyNumberFormat="1" applyFont="1" applyBorder="1" applyAlignment="1">
      <alignment horizontal="left"/>
    </xf>
    <xf numFmtId="10" fontId="7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1" fillId="0" borderId="0" xfId="0" applyFont="1" applyAlignment="1">
      <alignment/>
    </xf>
    <xf numFmtId="0" fontId="7" fillId="0" borderId="0" xfId="0" applyFont="1" applyAlignment="1">
      <alignment horizontal="center" vertical="top"/>
    </xf>
    <xf numFmtId="1" fontId="7" fillId="0" borderId="0" xfId="0" applyNumberFormat="1" applyFont="1" applyAlignment="1">
      <alignment horizontal="center" vertical="top"/>
    </xf>
    <xf numFmtId="0" fontId="10" fillId="0" borderId="0" xfId="0" applyFont="1" applyAlignment="1">
      <alignment vertical="top"/>
    </xf>
    <xf numFmtId="1" fontId="6" fillId="0" borderId="0" xfId="0" applyNumberFormat="1" applyFont="1" applyAlignment="1">
      <alignment horizontal="center" vertical="top"/>
    </xf>
    <xf numFmtId="1" fontId="10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7" fillId="0" borderId="0" xfId="0" applyNumberFormat="1" applyFont="1" applyAlignment="1">
      <alignment horizontal="right" vertical="top"/>
    </xf>
    <xf numFmtId="14" fontId="7" fillId="0" borderId="0" xfId="0" applyNumberFormat="1" applyFont="1" applyAlignment="1">
      <alignment horizontal="right" vertical="top"/>
    </xf>
    <xf numFmtId="0" fontId="6" fillId="0" borderId="0" xfId="0" applyNumberFormat="1" applyFont="1" applyAlignment="1">
      <alignment horizontal="right" vertical="top"/>
    </xf>
    <xf numFmtId="14" fontId="6" fillId="0" borderId="0" xfId="0" applyNumberFormat="1" applyFont="1" applyAlignment="1">
      <alignment horizontal="right" vertical="top"/>
    </xf>
    <xf numFmtId="9" fontId="0" fillId="0" borderId="0" xfId="0" applyNumberFormat="1" applyAlignment="1">
      <alignment horizontal="left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1" fontId="7" fillId="33" borderId="0" xfId="0" applyNumberFormat="1" applyFont="1" applyFill="1" applyAlignment="1">
      <alignment horizontal="center" vertical="top"/>
    </xf>
    <xf numFmtId="1" fontId="7" fillId="33" borderId="0" xfId="0" applyNumberFormat="1" applyFont="1" applyFill="1" applyAlignment="1">
      <alignment horizontal="center" vertical="top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1" fontId="7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right"/>
    </xf>
    <xf numFmtId="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Alignment="1">
      <alignment/>
    </xf>
    <xf numFmtId="172" fontId="19" fillId="34" borderId="0" xfId="0" applyNumberFormat="1" applyFont="1" applyFill="1" applyBorder="1" applyAlignment="1">
      <alignment/>
    </xf>
    <xf numFmtId="0" fontId="19" fillId="34" borderId="0" xfId="0" applyFont="1" applyFill="1" applyBorder="1" applyAlignment="1">
      <alignment/>
    </xf>
    <xf numFmtId="0" fontId="17" fillId="34" borderId="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5" fillId="35" borderId="0" xfId="0" applyFont="1" applyFill="1" applyAlignment="1">
      <alignment/>
    </xf>
    <xf numFmtId="0" fontId="13" fillId="35" borderId="0" xfId="0" applyFont="1" applyFill="1" applyAlignment="1">
      <alignment horizontal="center" vertical="top"/>
    </xf>
    <xf numFmtId="0" fontId="11" fillId="35" borderId="0" xfId="0" applyFont="1" applyFill="1" applyAlignment="1">
      <alignment/>
    </xf>
    <xf numFmtId="0" fontId="11" fillId="35" borderId="0" xfId="0" applyFont="1" applyFill="1" applyAlignment="1">
      <alignment horizontal="left"/>
    </xf>
    <xf numFmtId="0" fontId="7" fillId="34" borderId="0" xfId="0" applyFont="1" applyFill="1" applyAlignment="1">
      <alignment horizontal="right" vertical="top"/>
    </xf>
    <xf numFmtId="0" fontId="10" fillId="34" borderId="0" xfId="0" applyFont="1" applyFill="1" applyAlignment="1">
      <alignment horizontal="center" vertical="top"/>
    </xf>
    <xf numFmtId="0" fontId="6" fillId="34" borderId="0" xfId="0" applyFont="1" applyFill="1" applyAlignment="1">
      <alignment horizontal="right" vertical="top"/>
    </xf>
    <xf numFmtId="14" fontId="7" fillId="34" borderId="0" xfId="0" applyNumberFormat="1" applyFont="1" applyFill="1" applyAlignment="1">
      <alignment horizontal="right" vertical="top"/>
    </xf>
    <xf numFmtId="14" fontId="6" fillId="34" borderId="0" xfId="0" applyNumberFormat="1" applyFont="1" applyFill="1" applyAlignment="1">
      <alignment horizontal="right" vertical="top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top" wrapText="1"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 vertical="top" wrapText="1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1" fontId="7" fillId="36" borderId="0" xfId="0" applyNumberFormat="1" applyFont="1" applyFill="1" applyAlignment="1">
      <alignment horizontal="center" vertical="top"/>
    </xf>
    <xf numFmtId="0" fontId="7" fillId="36" borderId="0" xfId="0" applyFont="1" applyFill="1" applyAlignment="1">
      <alignment horizontal="center" vertical="top" wrapText="1"/>
    </xf>
    <xf numFmtId="0" fontId="24" fillId="0" borderId="0" xfId="0" applyFont="1" applyAlignment="1">
      <alignment/>
    </xf>
    <xf numFmtId="0" fontId="21" fillId="0" borderId="0" xfId="0" applyFont="1" applyAlignment="1">
      <alignment horizontal="center"/>
    </xf>
    <xf numFmtId="0" fontId="25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vertical="top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1" fillId="36" borderId="0" xfId="0" applyFont="1" applyFill="1" applyAlignment="1">
      <alignment horizontal="left"/>
    </xf>
    <xf numFmtId="0" fontId="1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14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0" fillId="0" borderId="18" xfId="0" applyBorder="1" applyAlignment="1">
      <alignment/>
    </xf>
    <xf numFmtId="0" fontId="28" fillId="0" borderId="0" xfId="0" applyFont="1" applyAlignment="1">
      <alignment horizontal="center" vertical="top"/>
    </xf>
    <xf numFmtId="3" fontId="30" fillId="0" borderId="0" xfId="0" applyNumberFormat="1" applyFont="1" applyBorder="1" applyAlignment="1">
      <alignment horizontal="center" vertical="top"/>
    </xf>
    <xf numFmtId="3" fontId="30" fillId="0" borderId="18" xfId="0" applyNumberFormat="1" applyFont="1" applyBorder="1" applyAlignment="1">
      <alignment horizontal="center" vertical="top"/>
    </xf>
    <xf numFmtId="3" fontId="29" fillId="0" borderId="0" xfId="0" applyNumberFormat="1" applyFont="1" applyAlignment="1">
      <alignment horizontal="center" vertical="top"/>
    </xf>
    <xf numFmtId="3" fontId="29" fillId="0" borderId="18" xfId="0" applyNumberFormat="1" applyFont="1" applyBorder="1" applyAlignment="1">
      <alignment horizontal="center" vertical="top"/>
    </xf>
    <xf numFmtId="174" fontId="29" fillId="0" borderId="19" xfId="0" applyNumberFormat="1" applyFont="1" applyBorder="1" applyAlignment="1">
      <alignment horizontal="center" vertical="top"/>
    </xf>
    <xf numFmtId="3" fontId="30" fillId="0" borderId="0" xfId="0" applyNumberFormat="1" applyFont="1" applyAlignment="1">
      <alignment horizontal="center" vertical="top"/>
    </xf>
    <xf numFmtId="3" fontId="6" fillId="0" borderId="18" xfId="0" applyNumberFormat="1" applyFont="1" applyBorder="1" applyAlignment="1">
      <alignment horizontal="center" vertical="top"/>
    </xf>
    <xf numFmtId="174" fontId="29" fillId="0" borderId="0" xfId="0" applyNumberFormat="1" applyFont="1" applyAlignment="1">
      <alignment horizontal="center" vertical="top"/>
    </xf>
    <xf numFmtId="0" fontId="31" fillId="0" borderId="0" xfId="0" applyFont="1" applyAlignment="1">
      <alignment horizontal="center" vertical="top" wrapText="1"/>
    </xf>
    <xf numFmtId="0" fontId="26" fillId="0" borderId="0" xfId="0" applyFont="1" applyBorder="1" applyAlignment="1">
      <alignment wrapText="1"/>
    </xf>
    <xf numFmtId="0" fontId="26" fillId="0" borderId="31" xfId="0" applyFont="1" applyBorder="1" applyAlignment="1">
      <alignment wrapText="1"/>
    </xf>
    <xf numFmtId="0" fontId="7" fillId="0" borderId="0" xfId="0" applyFont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right" vertical="top"/>
    </xf>
    <xf numFmtId="0" fontId="33" fillId="0" borderId="0" xfId="0" applyFont="1" applyAlignment="1">
      <alignment horizontal="justify" vertical="top" wrapText="1"/>
    </xf>
    <xf numFmtId="0" fontId="37" fillId="0" borderId="0" xfId="0" applyFont="1" applyAlignment="1">
      <alignment horizontal="justify"/>
    </xf>
    <xf numFmtId="0" fontId="24" fillId="0" borderId="31" xfId="0" applyFont="1" applyBorder="1" applyAlignment="1">
      <alignment horizontal="justify"/>
    </xf>
    <xf numFmtId="0" fontId="24" fillId="0" borderId="31" xfId="0" applyFont="1" applyBorder="1" applyAlignment="1">
      <alignment wrapText="1"/>
    </xf>
    <xf numFmtId="0" fontId="33" fillId="0" borderId="31" xfId="0" applyFont="1" applyBorder="1" applyAlignment="1">
      <alignment/>
    </xf>
    <xf numFmtId="0" fontId="33" fillId="0" borderId="31" xfId="0" applyFont="1" applyBorder="1" applyAlignment="1">
      <alignment wrapText="1"/>
    </xf>
    <xf numFmtId="172" fontId="0" fillId="34" borderId="31" xfId="0" applyNumberFormat="1" applyFill="1" applyBorder="1" applyAlignment="1">
      <alignment/>
    </xf>
    <xf numFmtId="0" fontId="7" fillId="37" borderId="0" xfId="0" applyFont="1" applyFill="1" applyAlignment="1">
      <alignment/>
    </xf>
    <xf numFmtId="2" fontId="10" fillId="0" borderId="0" xfId="0" applyNumberFormat="1" applyFont="1" applyAlignment="1">
      <alignment horizontal="center" vertical="top"/>
    </xf>
    <xf numFmtId="0" fontId="6" fillId="38" borderId="0" xfId="0" applyFont="1" applyFill="1" applyAlignment="1">
      <alignment horizontal="right" vertical="top"/>
    </xf>
    <xf numFmtId="0" fontId="24" fillId="0" borderId="31" xfId="0" applyFont="1" applyFill="1" applyBorder="1" applyAlignment="1">
      <alignment horizontal="justify"/>
    </xf>
    <xf numFmtId="0" fontId="0" fillId="0" borderId="31" xfId="0" applyFill="1" applyBorder="1" applyAlignment="1">
      <alignment/>
    </xf>
    <xf numFmtId="1" fontId="10" fillId="39" borderId="0" xfId="0" applyNumberFormat="1" applyFont="1" applyFill="1" applyAlignment="1">
      <alignment horizontal="right"/>
    </xf>
    <xf numFmtId="0" fontId="7" fillId="39" borderId="0" xfId="0" applyFont="1" applyFill="1" applyAlignment="1">
      <alignment/>
    </xf>
    <xf numFmtId="0" fontId="0" fillId="7" borderId="31" xfId="0" applyFill="1" applyBorder="1" applyAlignment="1">
      <alignment/>
    </xf>
    <xf numFmtId="2" fontId="7" fillId="37" borderId="0" xfId="0" applyNumberFormat="1" applyFont="1" applyFill="1" applyAlignment="1">
      <alignment horizontal="center" vertical="top"/>
    </xf>
    <xf numFmtId="2" fontId="7" fillId="40" borderId="0" xfId="0" applyNumberFormat="1" applyFont="1" applyFill="1" applyAlignment="1">
      <alignment horizontal="center" vertical="top"/>
    </xf>
    <xf numFmtId="2" fontId="6" fillId="41" borderId="0" xfId="0" applyNumberFormat="1" applyFont="1" applyFill="1" applyAlignment="1">
      <alignment horizontal="center" vertical="top"/>
    </xf>
    <xf numFmtId="2" fontId="7" fillId="0" borderId="0" xfId="0" applyNumberFormat="1" applyFont="1" applyAlignment="1">
      <alignment horizontal="center" vertical="top"/>
    </xf>
    <xf numFmtId="2" fontId="7" fillId="40" borderId="0" xfId="0" applyNumberFormat="1" applyFont="1" applyFill="1" applyAlignment="1">
      <alignment horizontal="center" vertical="top"/>
    </xf>
    <xf numFmtId="2" fontId="7" fillId="36" borderId="0" xfId="0" applyNumberFormat="1" applyFont="1" applyFill="1" applyAlignment="1">
      <alignment horizontal="center" vertical="top"/>
    </xf>
    <xf numFmtId="2" fontId="7" fillId="42" borderId="0" xfId="0" applyNumberFormat="1" applyFont="1" applyFill="1" applyAlignment="1">
      <alignment horizontal="center" vertical="top"/>
    </xf>
    <xf numFmtId="2" fontId="7" fillId="43" borderId="0" xfId="0" applyNumberFormat="1" applyFont="1" applyFill="1" applyAlignment="1">
      <alignment horizontal="center" vertical="top"/>
    </xf>
    <xf numFmtId="2" fontId="7" fillId="41" borderId="0" xfId="0" applyNumberFormat="1" applyFont="1" applyFill="1" applyAlignment="1">
      <alignment horizontal="center" vertical="top"/>
    </xf>
    <xf numFmtId="2" fontId="6" fillId="44" borderId="0" xfId="0" applyNumberFormat="1" applyFont="1" applyFill="1" applyAlignment="1">
      <alignment horizontal="center" vertical="top"/>
    </xf>
    <xf numFmtId="2" fontId="6" fillId="0" borderId="0" xfId="0" applyNumberFormat="1" applyFont="1" applyAlignment="1">
      <alignment horizontal="center" vertical="top"/>
    </xf>
    <xf numFmtId="4" fontId="30" fillId="0" borderId="0" xfId="0" applyNumberFormat="1" applyFont="1" applyBorder="1" applyAlignment="1">
      <alignment horizontal="center" vertical="top"/>
    </xf>
    <xf numFmtId="4" fontId="30" fillId="0" borderId="18" xfId="0" applyNumberFormat="1" applyFont="1" applyBorder="1" applyAlignment="1">
      <alignment horizontal="center" vertical="top"/>
    </xf>
    <xf numFmtId="4" fontId="30" fillId="0" borderId="0" xfId="0" applyNumberFormat="1" applyFont="1" applyAlignment="1">
      <alignment horizontal="center" vertical="top"/>
    </xf>
    <xf numFmtId="4" fontId="6" fillId="0" borderId="0" xfId="0" applyNumberFormat="1" applyFont="1" applyFill="1" applyAlignment="1">
      <alignment horizontal="center" vertical="top"/>
    </xf>
    <xf numFmtId="181" fontId="0" fillId="0" borderId="31" xfId="0" applyNumberFormat="1" applyBorder="1" applyAlignment="1">
      <alignment/>
    </xf>
    <xf numFmtId="181" fontId="10" fillId="0" borderId="0" xfId="0" applyNumberFormat="1" applyFont="1" applyAlignment="1">
      <alignment/>
    </xf>
    <xf numFmtId="181" fontId="10" fillId="0" borderId="0" xfId="0" applyNumberFormat="1" applyFont="1" applyAlignment="1">
      <alignment horizontal="center" vertical="top"/>
    </xf>
    <xf numFmtId="2" fontId="0" fillId="0" borderId="31" xfId="0" applyNumberFormat="1" applyBorder="1" applyAlignment="1">
      <alignment/>
    </xf>
    <xf numFmtId="2" fontId="0" fillId="0" borderId="31" xfId="0" applyNumberFormat="1" applyFill="1" applyBorder="1" applyAlignment="1">
      <alignment/>
    </xf>
    <xf numFmtId="0" fontId="6" fillId="13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center" vertical="top" wrapText="1"/>
    </xf>
    <xf numFmtId="2" fontId="6" fillId="0" borderId="0" xfId="0" applyNumberFormat="1" applyFont="1" applyFill="1" applyAlignment="1">
      <alignment horizontal="center" vertical="top"/>
    </xf>
    <xf numFmtId="0" fontId="0" fillId="39" borderId="0" xfId="0" applyFill="1" applyAlignment="1">
      <alignment horizontal="center"/>
    </xf>
    <xf numFmtId="0" fontId="6" fillId="6" borderId="0" xfId="0" applyFont="1" applyFill="1" applyAlignment="1">
      <alignment horizontal="right" vertical="top"/>
    </xf>
    <xf numFmtId="0" fontId="7" fillId="6" borderId="0" xfId="0" applyFont="1" applyFill="1" applyAlignment="1">
      <alignment horizontal="center" vertical="top"/>
    </xf>
    <xf numFmtId="0" fontId="7" fillId="6" borderId="0" xfId="0" applyFont="1" applyFill="1" applyAlignment="1">
      <alignment vertical="top"/>
    </xf>
    <xf numFmtId="0" fontId="7" fillId="6" borderId="0" xfId="0" applyFont="1" applyFill="1" applyAlignment="1">
      <alignment horizontal="center" vertical="top" wrapText="1"/>
    </xf>
    <xf numFmtId="2" fontId="0" fillId="39" borderId="31" xfId="0" applyNumberFormat="1" applyFill="1" applyBorder="1" applyAlignment="1">
      <alignment/>
    </xf>
    <xf numFmtId="0" fontId="0" fillId="39" borderId="31" xfId="0" applyFill="1" applyBorder="1" applyAlignment="1">
      <alignment wrapText="1"/>
    </xf>
    <xf numFmtId="182" fontId="0" fillId="39" borderId="31" xfId="0" applyNumberFormat="1" applyFill="1" applyBorder="1" applyAlignment="1">
      <alignment wrapText="1"/>
    </xf>
    <xf numFmtId="0" fontId="0" fillId="39" borderId="31" xfId="0" applyFill="1" applyBorder="1" applyAlignment="1">
      <alignment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80" fillId="0" borderId="0" xfId="0" applyFont="1" applyBorder="1" applyAlignment="1">
      <alignment horizontal="center" vertical="top" wrapText="1"/>
    </xf>
    <xf numFmtId="0" fontId="80" fillId="0" borderId="0" xfId="0" applyFont="1" applyBorder="1" applyAlignment="1">
      <alignment vertical="top" wrapText="1"/>
    </xf>
    <xf numFmtId="0" fontId="81" fillId="0" borderId="0" xfId="0" applyFont="1" applyBorder="1" applyAlignment="1">
      <alignment horizontal="center" vertical="top" wrapText="1"/>
    </xf>
    <xf numFmtId="0" fontId="81" fillId="0" borderId="0" xfId="0" applyFont="1" applyBorder="1" applyAlignment="1">
      <alignment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vertical="top" wrapText="1"/>
    </xf>
    <xf numFmtId="0" fontId="3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81" fillId="0" borderId="0" xfId="0" applyFont="1" applyFill="1" applyBorder="1" applyAlignment="1">
      <alignment horizontal="center" vertical="top" wrapText="1"/>
    </xf>
    <xf numFmtId="0" fontId="32" fillId="0" borderId="0" xfId="0" applyFont="1" applyAlignment="1">
      <alignment vertical="top" wrapText="1"/>
    </xf>
    <xf numFmtId="0" fontId="33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vertical="top" wrapText="1"/>
    </xf>
    <xf numFmtId="0" fontId="33" fillId="0" borderId="0" xfId="0" applyFont="1" applyBorder="1" applyAlignment="1">
      <alignment horizontal="left" vertical="top"/>
    </xf>
    <xf numFmtId="0" fontId="33" fillId="0" borderId="0" xfId="0" applyFont="1" applyBorder="1" applyAlignment="1">
      <alignment/>
    </xf>
    <xf numFmtId="0" fontId="7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2" fontId="7" fillId="0" borderId="0" xfId="0" applyNumberFormat="1" applyFont="1" applyFill="1" applyAlignment="1">
      <alignment horizontal="center" vertical="top"/>
    </xf>
    <xf numFmtId="2" fontId="7" fillId="0" borderId="0" xfId="0" applyNumberFormat="1" applyFont="1" applyFill="1" applyAlignment="1">
      <alignment horizontal="center" vertical="top"/>
    </xf>
    <xf numFmtId="2" fontId="10" fillId="0" borderId="0" xfId="0" applyNumberFormat="1" applyFont="1" applyFill="1" applyAlignment="1">
      <alignment horizontal="center" vertical="top"/>
    </xf>
    <xf numFmtId="181" fontId="10" fillId="0" borderId="0" xfId="0" applyNumberFormat="1" applyFont="1" applyFill="1" applyAlignment="1">
      <alignment horizontal="center" vertical="top"/>
    </xf>
    <xf numFmtId="2" fontId="10" fillId="39" borderId="0" xfId="0" applyNumberFormat="1" applyFont="1" applyFill="1" applyAlignment="1">
      <alignment horizontal="center" vertical="top"/>
    </xf>
    <xf numFmtId="0" fontId="82" fillId="0" borderId="0" xfId="0" applyFont="1" applyAlignment="1">
      <alignment/>
    </xf>
    <xf numFmtId="0" fontId="82" fillId="34" borderId="0" xfId="0" applyFont="1" applyFill="1" applyAlignment="1">
      <alignment horizontal="center"/>
    </xf>
    <xf numFmtId="0" fontId="83" fillId="0" borderId="0" xfId="0" applyFont="1" applyBorder="1" applyAlignment="1">
      <alignment/>
    </xf>
    <xf numFmtId="0" fontId="82" fillId="34" borderId="0" xfId="0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0" fontId="81" fillId="0" borderId="0" xfId="0" applyFont="1" applyFill="1" applyBorder="1" applyAlignment="1">
      <alignment vertical="top" wrapText="1"/>
    </xf>
    <xf numFmtId="14" fontId="7" fillId="0" borderId="0" xfId="0" applyNumberFormat="1" applyFont="1" applyFill="1" applyAlignment="1">
      <alignment horizontal="right" vertical="top"/>
    </xf>
    <xf numFmtId="0" fontId="33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2" fontId="7" fillId="37" borderId="0" xfId="0" applyNumberFormat="1" applyFont="1" applyFill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32" fillId="0" borderId="0" xfId="0" applyFont="1" applyBorder="1" applyAlignment="1">
      <alignment horizontal="left" vertical="top" wrapText="1"/>
    </xf>
    <xf numFmtId="0" fontId="80" fillId="0" borderId="0" xfId="0" applyFont="1" applyBorder="1" applyAlignment="1">
      <alignment vertical="top" wrapText="1"/>
    </xf>
    <xf numFmtId="0" fontId="33" fillId="0" borderId="0" xfId="0" applyFont="1" applyAlignment="1">
      <alignment vertical="top"/>
    </xf>
    <xf numFmtId="0" fontId="33" fillId="0" borderId="0" xfId="0" applyFont="1" applyFill="1" applyBorder="1" applyAlignment="1">
      <alignment horizontal="left" vertical="top" wrapText="1"/>
    </xf>
    <xf numFmtId="0" fontId="80" fillId="0" borderId="0" xfId="0" applyFont="1" applyBorder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81" fillId="0" borderId="0" xfId="0" applyFont="1" applyBorder="1" applyAlignment="1">
      <alignment horizontal="left" vertical="top" wrapText="1"/>
    </xf>
    <xf numFmtId="0" fontId="81" fillId="0" borderId="0" xfId="0" applyFont="1" applyFill="1" applyBorder="1" applyAlignment="1">
      <alignment horizontal="left" vertical="top" wrapText="1"/>
    </xf>
    <xf numFmtId="0" fontId="33" fillId="0" borderId="0" xfId="0" applyFont="1" applyFill="1" applyAlignment="1">
      <alignment horizontal="center" vertical="top" wrapText="1"/>
    </xf>
    <xf numFmtId="0" fontId="33" fillId="0" borderId="0" xfId="0" applyFont="1" applyAlignment="1">
      <alignment/>
    </xf>
    <xf numFmtId="0" fontId="33" fillId="0" borderId="31" xfId="0" applyFont="1" applyBorder="1" applyAlignment="1">
      <alignment horizontal="center" vertical="top" wrapText="1"/>
    </xf>
    <xf numFmtId="0" fontId="33" fillId="0" borderId="31" xfId="0" applyFont="1" applyBorder="1" applyAlignment="1">
      <alignment horizontal="left" vertical="top" wrapText="1"/>
    </xf>
    <xf numFmtId="0" fontId="80" fillId="0" borderId="31" xfId="0" applyFont="1" applyBorder="1" applyAlignment="1">
      <alignment horizontal="center" vertical="top" wrapText="1"/>
    </xf>
    <xf numFmtId="0" fontId="80" fillId="0" borderId="31" xfId="0" applyFont="1" applyBorder="1" applyAlignment="1">
      <alignment horizontal="left" vertical="top" wrapText="1"/>
    </xf>
    <xf numFmtId="0" fontId="33" fillId="0" borderId="31" xfId="0" applyFont="1" applyFill="1" applyBorder="1" applyAlignment="1">
      <alignment horizontal="center" vertical="top" wrapText="1"/>
    </xf>
    <xf numFmtId="0" fontId="33" fillId="0" borderId="31" xfId="0" applyFont="1" applyFill="1" applyBorder="1" applyAlignment="1">
      <alignment horizontal="left" vertical="top" wrapText="1"/>
    </xf>
    <xf numFmtId="0" fontId="32" fillId="0" borderId="31" xfId="0" applyFont="1" applyBorder="1" applyAlignment="1">
      <alignment horizontal="center" vertical="top" wrapText="1"/>
    </xf>
    <xf numFmtId="0" fontId="32" fillId="0" borderId="31" xfId="0" applyFont="1" applyBorder="1" applyAlignment="1">
      <alignment horizontal="left" vertical="top" wrapText="1"/>
    </xf>
    <xf numFmtId="0" fontId="32" fillId="0" borderId="31" xfId="0" applyFont="1" applyFill="1" applyBorder="1" applyAlignment="1">
      <alignment horizontal="center" vertical="top" wrapText="1"/>
    </xf>
    <xf numFmtId="0" fontId="32" fillId="0" borderId="31" xfId="0" applyFont="1" applyFill="1" applyBorder="1" applyAlignment="1">
      <alignment horizontal="left" vertical="top" wrapText="1"/>
    </xf>
    <xf numFmtId="0" fontId="80" fillId="0" borderId="31" xfId="0" applyFont="1" applyBorder="1" applyAlignment="1">
      <alignment vertical="top" wrapText="1"/>
    </xf>
    <xf numFmtId="0" fontId="7" fillId="0" borderId="31" xfId="0" applyFont="1" applyBorder="1" applyAlignment="1">
      <alignment horizontal="center"/>
    </xf>
    <xf numFmtId="0" fontId="0" fillId="0" borderId="31" xfId="0" applyBorder="1" applyAlignment="1">
      <alignment/>
    </xf>
    <xf numFmtId="0" fontId="15" fillId="0" borderId="31" xfId="0" applyFont="1" applyBorder="1" applyAlignment="1">
      <alignment/>
    </xf>
    <xf numFmtId="0" fontId="11" fillId="0" borderId="31" xfId="0" applyFont="1" applyBorder="1" applyAlignment="1">
      <alignment/>
    </xf>
    <xf numFmtId="0" fontId="28" fillId="0" borderId="31" xfId="0" applyFont="1" applyBorder="1" applyAlignment="1">
      <alignment horizontal="center" vertical="top"/>
    </xf>
    <xf numFmtId="0" fontId="7" fillId="0" borderId="31" xfId="0" applyFont="1" applyBorder="1" applyAlignment="1">
      <alignment horizontal="left" vertical="top"/>
    </xf>
    <xf numFmtId="0" fontId="11" fillId="0" borderId="31" xfId="0" applyFont="1" applyBorder="1" applyAlignment="1">
      <alignment vertical="top"/>
    </xf>
    <xf numFmtId="0" fontId="81" fillId="0" borderId="31" xfId="0" applyFont="1" applyBorder="1" applyAlignment="1">
      <alignment horizontal="center" vertical="top" wrapText="1"/>
    </xf>
    <xf numFmtId="0" fontId="81" fillId="0" borderId="31" xfId="0" applyFont="1" applyBorder="1" applyAlignment="1">
      <alignment vertical="top" wrapText="1"/>
    </xf>
    <xf numFmtId="0" fontId="81" fillId="0" borderId="31" xfId="0" applyFont="1" applyBorder="1" applyAlignment="1">
      <alignment horizontal="left" vertical="top" wrapText="1"/>
    </xf>
    <xf numFmtId="0" fontId="81" fillId="0" borderId="31" xfId="0" applyFont="1" applyFill="1" applyBorder="1" applyAlignment="1">
      <alignment horizontal="center" vertical="top" wrapText="1"/>
    </xf>
    <xf numFmtId="0" fontId="81" fillId="0" borderId="31" xfId="0" applyFont="1" applyFill="1" applyBorder="1" applyAlignment="1">
      <alignment horizontal="left" vertical="top" wrapText="1"/>
    </xf>
    <xf numFmtId="0" fontId="33" fillId="0" borderId="31" xfId="0" applyFont="1" applyBorder="1" applyAlignment="1">
      <alignment vertical="top"/>
    </xf>
    <xf numFmtId="2" fontId="10" fillId="38" borderId="0" xfId="0" applyNumberFormat="1" applyFont="1" applyFill="1" applyAlignment="1">
      <alignment horizontal="center" vertical="top"/>
    </xf>
    <xf numFmtId="0" fontId="10" fillId="38" borderId="0" xfId="0" applyFont="1" applyFill="1" applyAlignment="1">
      <alignment horizontal="center" vertical="top"/>
    </xf>
    <xf numFmtId="0" fontId="24" fillId="38" borderId="31" xfId="0" applyFont="1" applyFill="1" applyBorder="1" applyAlignment="1">
      <alignment horizontal="justify"/>
    </xf>
    <xf numFmtId="0" fontId="81" fillId="0" borderId="0" xfId="0" applyFont="1" applyBorder="1" applyAlignment="1">
      <alignment horizontal="left" vertical="top" wrapText="1"/>
    </xf>
    <xf numFmtId="4" fontId="30" fillId="0" borderId="0" xfId="0" applyNumberFormat="1" applyFont="1" applyBorder="1" applyAlignment="1">
      <alignment horizontal="center" vertical="top" wrapText="1"/>
    </xf>
    <xf numFmtId="4" fontId="6" fillId="38" borderId="0" xfId="0" applyNumberFormat="1" applyFont="1" applyFill="1" applyAlignment="1">
      <alignment horizontal="center" vertical="top"/>
    </xf>
    <xf numFmtId="0" fontId="33" fillId="38" borderId="0" xfId="0" applyFont="1" applyFill="1" applyAlignment="1">
      <alignment horizontal="center" vertical="top" wrapText="1"/>
    </xf>
    <xf numFmtId="0" fontId="81" fillId="39" borderId="31" xfId="0" applyFont="1" applyFill="1" applyBorder="1" applyAlignment="1">
      <alignment horizontal="center" vertical="top" wrapText="1"/>
    </xf>
    <xf numFmtId="0" fontId="81" fillId="38" borderId="0" xfId="0" applyFont="1" applyFill="1" applyBorder="1" applyAlignment="1">
      <alignment horizontal="center" vertical="top" wrapText="1"/>
    </xf>
    <xf numFmtId="0" fontId="81" fillId="38" borderId="0" xfId="0" applyFont="1" applyFill="1" applyBorder="1" applyAlignment="1">
      <alignment horizontal="left" vertical="top" wrapText="1"/>
    </xf>
    <xf numFmtId="4" fontId="30" fillId="38" borderId="0" xfId="0" applyNumberFormat="1" applyFont="1" applyFill="1" applyBorder="1" applyAlignment="1">
      <alignment horizontal="center" vertical="top"/>
    </xf>
    <xf numFmtId="4" fontId="30" fillId="38" borderId="18" xfId="0" applyNumberFormat="1" applyFont="1" applyFill="1" applyBorder="1" applyAlignment="1">
      <alignment horizontal="center" vertical="top"/>
    </xf>
    <xf numFmtId="174" fontId="29" fillId="38" borderId="19" xfId="0" applyNumberFormat="1" applyFont="1" applyFill="1" applyBorder="1" applyAlignment="1">
      <alignment horizontal="center" vertical="top"/>
    </xf>
    <xf numFmtId="4" fontId="30" fillId="38" borderId="0" xfId="0" applyNumberFormat="1" applyFont="1" applyFill="1" applyAlignment="1">
      <alignment horizontal="center" vertical="top"/>
    </xf>
    <xf numFmtId="174" fontId="29" fillId="38" borderId="0" xfId="0" applyNumberFormat="1" applyFont="1" applyFill="1" applyAlignment="1">
      <alignment horizontal="center" vertical="top"/>
    </xf>
    <xf numFmtId="0" fontId="7" fillId="38" borderId="0" xfId="0" applyFont="1" applyFill="1" applyAlignment="1">
      <alignment horizontal="center" vertical="justify"/>
    </xf>
    <xf numFmtId="0" fontId="33" fillId="0" borderId="0" xfId="0" applyFont="1" applyAlignment="1">
      <alignment horizontal="center"/>
    </xf>
    <xf numFmtId="0" fontId="81" fillId="0" borderId="0" xfId="0" applyFont="1" applyBorder="1" applyAlignment="1">
      <alignment horizontal="left" vertical="top" wrapText="1"/>
    </xf>
    <xf numFmtId="0" fontId="80" fillId="0" borderId="0" xfId="0" applyFont="1" applyBorder="1" applyAlignment="1">
      <alignment vertical="top" wrapText="1"/>
    </xf>
    <xf numFmtId="4" fontId="30" fillId="8" borderId="0" xfId="0" applyNumberFormat="1" applyFont="1" applyFill="1" applyAlignment="1">
      <alignment horizontal="center" vertical="top"/>
    </xf>
    <xf numFmtId="0" fontId="6" fillId="38" borderId="0" xfId="0" applyNumberFormat="1" applyFont="1" applyFill="1" applyAlignment="1">
      <alignment horizontal="right" vertical="top"/>
    </xf>
    <xf numFmtId="0" fontId="80" fillId="38" borderId="0" xfId="0" applyFont="1" applyFill="1" applyBorder="1" applyAlignment="1">
      <alignment horizontal="center" vertical="top" wrapText="1"/>
    </xf>
    <xf numFmtId="0" fontId="80" fillId="38" borderId="0" xfId="0" applyFont="1" applyFill="1" applyBorder="1" applyAlignment="1">
      <alignment horizontal="left" vertical="top" wrapText="1"/>
    </xf>
    <xf numFmtId="0" fontId="33" fillId="38" borderId="0" xfId="0" applyFont="1" applyFill="1" applyBorder="1" applyAlignment="1">
      <alignment horizontal="center" vertical="top" wrapText="1"/>
    </xf>
    <xf numFmtId="0" fontId="33" fillId="38" borderId="0" xfId="0" applyFont="1" applyFill="1" applyBorder="1" applyAlignment="1">
      <alignment horizontal="left" vertical="top" wrapText="1"/>
    </xf>
    <xf numFmtId="0" fontId="7" fillId="38" borderId="0" xfId="0" applyFont="1" applyFill="1" applyAlignment="1">
      <alignment horizontal="right" vertical="top"/>
    </xf>
    <xf numFmtId="4" fontId="30" fillId="38" borderId="0" xfId="0" applyNumberFormat="1" applyFont="1" applyFill="1" applyBorder="1" applyAlignment="1">
      <alignment horizontal="center" vertical="top" wrapText="1"/>
    </xf>
    <xf numFmtId="0" fontId="24" fillId="0" borderId="31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/>
    </xf>
    <xf numFmtId="0" fontId="31" fillId="0" borderId="31" xfId="0" applyFont="1" applyBorder="1" applyAlignment="1">
      <alignment horizontal="center" vertical="top" wrapText="1"/>
    </xf>
    <xf numFmtId="3" fontId="30" fillId="0" borderId="31" xfId="0" applyNumberFormat="1" applyFont="1" applyBorder="1" applyAlignment="1">
      <alignment horizontal="center" vertical="top"/>
    </xf>
    <xf numFmtId="4" fontId="30" fillId="0" borderId="31" xfId="0" applyNumberFormat="1" applyFont="1" applyBorder="1" applyAlignment="1">
      <alignment horizontal="center" vertical="top"/>
    </xf>
    <xf numFmtId="4" fontId="30" fillId="0" borderId="31" xfId="0" applyNumberFormat="1" applyFont="1" applyBorder="1" applyAlignment="1">
      <alignment horizontal="center" vertical="top" wrapText="1"/>
    </xf>
    <xf numFmtId="0" fontId="81" fillId="38" borderId="31" xfId="0" applyFont="1" applyFill="1" applyBorder="1" applyAlignment="1">
      <alignment horizontal="center" vertical="top" wrapText="1"/>
    </xf>
    <xf numFmtId="0" fontId="81" fillId="38" borderId="31" xfId="0" applyFont="1" applyFill="1" applyBorder="1" applyAlignment="1">
      <alignment horizontal="left" vertical="top" wrapText="1"/>
    </xf>
    <xf numFmtId="0" fontId="33" fillId="38" borderId="31" xfId="0" applyFont="1" applyFill="1" applyBorder="1" applyAlignment="1">
      <alignment horizontal="center" vertical="top" wrapText="1"/>
    </xf>
    <xf numFmtId="4" fontId="30" fillId="38" borderId="31" xfId="0" applyNumberFormat="1" applyFont="1" applyFill="1" applyBorder="1" applyAlignment="1">
      <alignment horizontal="center" vertical="top"/>
    </xf>
    <xf numFmtId="0" fontId="81" fillId="45" borderId="31" xfId="0" applyFont="1" applyFill="1" applyBorder="1" applyAlignment="1">
      <alignment horizontal="center" vertical="top" wrapText="1"/>
    </xf>
    <xf numFmtId="0" fontId="81" fillId="45" borderId="31" xfId="0" applyFont="1" applyFill="1" applyBorder="1" applyAlignment="1">
      <alignment horizontal="left" vertical="top" wrapText="1"/>
    </xf>
    <xf numFmtId="0" fontId="33" fillId="45" borderId="31" xfId="0" applyFont="1" applyFill="1" applyBorder="1" applyAlignment="1">
      <alignment horizontal="center" vertical="top" wrapText="1"/>
    </xf>
    <xf numFmtId="4" fontId="30" fillId="45" borderId="31" xfId="0" applyNumberFormat="1" applyFont="1" applyFill="1" applyBorder="1" applyAlignment="1">
      <alignment horizontal="center" vertical="top"/>
    </xf>
    <xf numFmtId="4" fontId="30" fillId="38" borderId="31" xfId="0" applyNumberFormat="1" applyFont="1" applyFill="1" applyBorder="1" applyAlignment="1">
      <alignment horizontal="center" vertical="top" wrapText="1"/>
    </xf>
    <xf numFmtId="0" fontId="80" fillId="38" borderId="31" xfId="0" applyFont="1" applyFill="1" applyBorder="1" applyAlignment="1">
      <alignment horizontal="center" vertical="top" wrapText="1"/>
    </xf>
    <xf numFmtId="0" fontId="80" fillId="38" borderId="31" xfId="0" applyFont="1" applyFill="1" applyBorder="1" applyAlignment="1">
      <alignment horizontal="left" vertical="top" wrapText="1"/>
    </xf>
    <xf numFmtId="0" fontId="33" fillId="0" borderId="31" xfId="0" applyFont="1" applyBorder="1" applyAlignment="1">
      <alignment horizontal="left" vertical="top"/>
    </xf>
    <xf numFmtId="4" fontId="6" fillId="0" borderId="31" xfId="0" applyNumberFormat="1" applyFont="1" applyFill="1" applyBorder="1" applyAlignment="1">
      <alignment horizontal="center" vertical="top"/>
    </xf>
    <xf numFmtId="0" fontId="33" fillId="38" borderId="31" xfId="0" applyFont="1" applyFill="1" applyBorder="1" applyAlignment="1">
      <alignment horizontal="left" vertical="top" wrapText="1"/>
    </xf>
    <xf numFmtId="0" fontId="33" fillId="0" borderId="31" xfId="0" applyFont="1" applyBorder="1" applyAlignment="1">
      <alignment vertical="top" wrapText="1"/>
    </xf>
    <xf numFmtId="0" fontId="81" fillId="0" borderId="0" xfId="0" applyFont="1" applyBorder="1" applyAlignment="1">
      <alignment horizontal="left" vertical="top" wrapText="1"/>
    </xf>
    <xf numFmtId="0" fontId="80" fillId="0" borderId="0" xfId="0" applyFont="1" applyBorder="1" applyAlignment="1">
      <alignment horizontal="left" vertical="top" wrapText="1"/>
    </xf>
    <xf numFmtId="0" fontId="81" fillId="0" borderId="0" xfId="0" applyFont="1" applyFill="1" applyBorder="1" applyAlignment="1">
      <alignment horizontal="left" vertical="top" wrapText="1"/>
    </xf>
    <xf numFmtId="0" fontId="33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33" fillId="0" borderId="0" xfId="0" applyFont="1" applyAlignment="1">
      <alignment horizontal="center" wrapText="1"/>
    </xf>
    <xf numFmtId="0" fontId="0" fillId="38" borderId="0" xfId="0" applyFill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wrapText="1"/>
    </xf>
    <xf numFmtId="0" fontId="32" fillId="0" borderId="0" xfId="0" applyFont="1" applyAlignment="1">
      <alignment wrapText="1"/>
    </xf>
    <xf numFmtId="4" fontId="32" fillId="38" borderId="31" xfId="0" applyNumberFormat="1" applyFont="1" applyFill="1" applyBorder="1" applyAlignment="1">
      <alignment horizontal="center" vertical="top"/>
    </xf>
    <xf numFmtId="0" fontId="33" fillId="38" borderId="31" xfId="0" applyFont="1" applyFill="1" applyBorder="1" applyAlignment="1">
      <alignment horizontal="center" vertical="top"/>
    </xf>
    <xf numFmtId="4" fontId="33" fillId="38" borderId="31" xfId="0" applyNumberFormat="1" applyFont="1" applyFill="1" applyBorder="1" applyAlignment="1">
      <alignment horizontal="center" vertical="top"/>
    </xf>
    <xf numFmtId="0" fontId="0" fillId="38" borderId="31" xfId="0" applyFill="1" applyBorder="1" applyAlignment="1">
      <alignment/>
    </xf>
    <xf numFmtId="2" fontId="30" fillId="38" borderId="0" xfId="0" applyNumberFormat="1" applyFont="1" applyFill="1" applyBorder="1" applyAlignment="1">
      <alignment horizontal="center" vertical="top"/>
    </xf>
    <xf numFmtId="0" fontId="80" fillId="0" borderId="21" xfId="0" applyFont="1" applyBorder="1" applyAlignment="1">
      <alignment horizontal="left" vertical="top" wrapText="1"/>
    </xf>
    <xf numFmtId="0" fontId="33" fillId="0" borderId="21" xfId="0" applyFont="1" applyFill="1" applyBorder="1" applyAlignment="1">
      <alignment horizontal="center" vertical="top" wrapText="1"/>
    </xf>
    <xf numFmtId="4" fontId="30" fillId="0" borderId="21" xfId="0" applyNumberFormat="1" applyFont="1" applyBorder="1" applyAlignment="1">
      <alignment horizontal="center" vertical="top"/>
    </xf>
    <xf numFmtId="0" fontId="80" fillId="38" borderId="31" xfId="0" applyFont="1" applyFill="1" applyBorder="1" applyAlignment="1">
      <alignment vertical="top" wrapText="1"/>
    </xf>
    <xf numFmtId="0" fontId="80" fillId="0" borderId="0" xfId="0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left" vertical="top" wrapText="1"/>
    </xf>
    <xf numFmtId="0" fontId="32" fillId="38" borderId="31" xfId="0" applyFont="1" applyFill="1" applyBorder="1" applyAlignment="1">
      <alignment horizontal="center" vertical="top" wrapText="1"/>
    </xf>
    <xf numFmtId="0" fontId="32" fillId="38" borderId="31" xfId="0" applyFont="1" applyFill="1" applyBorder="1" applyAlignment="1">
      <alignment horizontal="center" vertical="top"/>
    </xf>
    <xf numFmtId="4" fontId="30" fillId="46" borderId="0" xfId="0" applyNumberFormat="1" applyFont="1" applyFill="1" applyAlignment="1">
      <alignment horizontal="center" vertical="top"/>
    </xf>
    <xf numFmtId="0" fontId="84" fillId="0" borderId="31" xfId="0" applyFont="1" applyBorder="1" applyAlignment="1">
      <alignment vertical="top" wrapText="1"/>
    </xf>
    <xf numFmtId="0" fontId="84" fillId="0" borderId="31" xfId="0" applyFont="1" applyBorder="1" applyAlignment="1">
      <alignment horizontal="center" vertical="top" wrapText="1"/>
    </xf>
    <xf numFmtId="4" fontId="30" fillId="12" borderId="0" xfId="0" applyNumberFormat="1" applyFont="1" applyFill="1" applyAlignment="1">
      <alignment horizontal="center" vertical="top"/>
    </xf>
    <xf numFmtId="4" fontId="30" fillId="12" borderId="18" xfId="0" applyNumberFormat="1" applyFont="1" applyFill="1" applyBorder="1" applyAlignment="1">
      <alignment horizontal="center" vertical="top"/>
    </xf>
    <xf numFmtId="0" fontId="8" fillId="38" borderId="0" xfId="0" applyFont="1" applyFill="1" applyAlignment="1">
      <alignment horizontal="right"/>
    </xf>
    <xf numFmtId="0" fontId="25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center"/>
    </xf>
    <xf numFmtId="0" fontId="8" fillId="38" borderId="0" xfId="0" applyFont="1" applyFill="1" applyBorder="1" applyAlignment="1">
      <alignment horizontal="center"/>
    </xf>
    <xf numFmtId="0" fontId="8" fillId="38" borderId="0" xfId="0" applyFont="1" applyFill="1" applyAlignment="1">
      <alignment/>
    </xf>
    <xf numFmtId="0" fontId="33" fillId="0" borderId="0" xfId="0" applyFont="1" applyBorder="1" applyAlignment="1">
      <alignment horizontal="center" wrapText="1"/>
    </xf>
    <xf numFmtId="4" fontId="30" fillId="14" borderId="0" xfId="0" applyNumberFormat="1" applyFont="1" applyFill="1" applyAlignment="1">
      <alignment horizontal="center" vertical="top"/>
    </xf>
    <xf numFmtId="0" fontId="32" fillId="38" borderId="0" xfId="0" applyFont="1" applyFill="1" applyBorder="1" applyAlignment="1">
      <alignment horizontal="center" vertical="top" wrapText="1"/>
    </xf>
    <xf numFmtId="0" fontId="32" fillId="38" borderId="0" xfId="0" applyFont="1" applyFill="1" applyBorder="1" applyAlignment="1">
      <alignment horizontal="left" vertical="top" wrapText="1"/>
    </xf>
    <xf numFmtId="0" fontId="32" fillId="38" borderId="31" xfId="0" applyFont="1" applyFill="1" applyBorder="1" applyAlignment="1">
      <alignment horizontal="left" vertical="top" wrapText="1"/>
    </xf>
    <xf numFmtId="0" fontId="32" fillId="0" borderId="0" xfId="0" applyFont="1" applyAlignment="1">
      <alignment horizontal="center"/>
    </xf>
    <xf numFmtId="0" fontId="33" fillId="38" borderId="31" xfId="0" applyFont="1" applyFill="1" applyBorder="1" applyAlignment="1">
      <alignment horizontal="center" vertical="center"/>
    </xf>
    <xf numFmtId="4" fontId="32" fillId="38" borderId="31" xfId="0" applyNumberFormat="1" applyFont="1" applyFill="1" applyBorder="1" applyAlignment="1">
      <alignment horizontal="center" vertical="center"/>
    </xf>
    <xf numFmtId="4" fontId="33" fillId="38" borderId="31" xfId="0" applyNumberFormat="1" applyFont="1" applyFill="1" applyBorder="1" applyAlignment="1">
      <alignment horizontal="center" vertical="center"/>
    </xf>
    <xf numFmtId="0" fontId="0" fillId="38" borderId="31" xfId="0" applyFill="1" applyBorder="1" applyAlignment="1">
      <alignment horizontal="center" vertical="center"/>
    </xf>
    <xf numFmtId="0" fontId="33" fillId="38" borderId="21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33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4" fontId="30" fillId="8" borderId="18" xfId="0" applyNumberFormat="1" applyFont="1" applyFill="1" applyBorder="1" applyAlignment="1">
      <alignment horizontal="center" vertical="top"/>
    </xf>
    <xf numFmtId="0" fontId="33" fillId="38" borderId="31" xfId="0" applyFont="1" applyFill="1" applyBorder="1" applyAlignment="1">
      <alignment/>
    </xf>
    <xf numFmtId="0" fontId="81" fillId="38" borderId="31" xfId="0" applyFont="1" applyFill="1" applyBorder="1" applyAlignment="1">
      <alignment vertical="top" wrapText="1"/>
    </xf>
    <xf numFmtId="0" fontId="5" fillId="38" borderId="31" xfId="0" applyFont="1" applyFill="1" applyBorder="1" applyAlignment="1">
      <alignment/>
    </xf>
    <xf numFmtId="2" fontId="81" fillId="38" borderId="31" xfId="0" applyNumberFormat="1" applyFont="1" applyFill="1" applyBorder="1" applyAlignment="1">
      <alignment horizontal="center" vertical="top" wrapText="1"/>
    </xf>
    <xf numFmtId="0" fontId="32" fillId="38" borderId="31" xfId="0" applyFont="1" applyFill="1" applyBorder="1" applyAlignment="1">
      <alignment vertical="top"/>
    </xf>
    <xf numFmtId="0" fontId="35" fillId="38" borderId="31" xfId="0" applyFont="1" applyFill="1" applyBorder="1" applyAlignment="1">
      <alignment horizontal="center" vertical="center" wrapText="1"/>
    </xf>
    <xf numFmtId="0" fontId="35" fillId="38" borderId="31" xfId="0" applyFont="1" applyFill="1" applyBorder="1" applyAlignment="1">
      <alignment horizontal="left" vertical="top" wrapText="1"/>
    </xf>
    <xf numFmtId="0" fontId="35" fillId="38" borderId="31" xfId="0" applyFont="1" applyFill="1" applyBorder="1" applyAlignment="1">
      <alignment horizontal="center" vertical="top" wrapText="1"/>
    </xf>
    <xf numFmtId="0" fontId="33" fillId="38" borderId="31" xfId="0" applyFont="1" applyFill="1" applyBorder="1" applyAlignment="1">
      <alignment vertical="top"/>
    </xf>
    <xf numFmtId="0" fontId="32" fillId="38" borderId="31" xfId="0" applyFont="1" applyFill="1" applyBorder="1" applyAlignment="1">
      <alignment horizontal="center"/>
    </xf>
    <xf numFmtId="0" fontId="32" fillId="38" borderId="31" xfId="0" applyFont="1" applyFill="1" applyBorder="1" applyAlignment="1">
      <alignment/>
    </xf>
    <xf numFmtId="0" fontId="84" fillId="38" borderId="31" xfId="0" applyFont="1" applyFill="1" applyBorder="1" applyAlignment="1">
      <alignment horizontal="center" vertical="center" wrapText="1"/>
    </xf>
    <xf numFmtId="0" fontId="84" fillId="38" borderId="31" xfId="0" applyFont="1" applyFill="1" applyBorder="1" applyAlignment="1">
      <alignment horizontal="left" vertical="top" wrapText="1"/>
    </xf>
    <xf numFmtId="0" fontId="84" fillId="38" borderId="31" xfId="0" applyFont="1" applyFill="1" applyBorder="1" applyAlignment="1">
      <alignment horizontal="center" vertical="top" wrapText="1"/>
    </xf>
    <xf numFmtId="0" fontId="33" fillId="38" borderId="31" xfId="0" applyFont="1" applyFill="1" applyBorder="1" applyAlignment="1">
      <alignment vertical="center"/>
    </xf>
    <xf numFmtId="0" fontId="33" fillId="38" borderId="31" xfId="0" applyFont="1" applyFill="1" applyBorder="1" applyAlignment="1">
      <alignment horizontal="center" vertical="center" wrapText="1"/>
    </xf>
    <xf numFmtId="0" fontId="33" fillId="38" borderId="31" xfId="0" applyFont="1" applyFill="1" applyBorder="1" applyAlignment="1">
      <alignment horizontal="left" vertical="center" wrapText="1"/>
    </xf>
    <xf numFmtId="4" fontId="30" fillId="47" borderId="0" xfId="0" applyNumberFormat="1" applyFont="1" applyFill="1" applyAlignment="1">
      <alignment horizontal="center" vertical="top"/>
    </xf>
    <xf numFmtId="4" fontId="30" fillId="47" borderId="18" xfId="0" applyNumberFormat="1" applyFont="1" applyFill="1" applyBorder="1" applyAlignment="1">
      <alignment horizontal="center" vertical="top"/>
    </xf>
    <xf numFmtId="0" fontId="85" fillId="38" borderId="31" xfId="0" applyFont="1" applyFill="1" applyBorder="1" applyAlignment="1">
      <alignment/>
    </xf>
    <xf numFmtId="2" fontId="80" fillId="38" borderId="31" xfId="0" applyNumberFormat="1" applyFont="1" applyFill="1" applyBorder="1" applyAlignment="1">
      <alignment horizontal="center" vertical="top" wrapText="1"/>
    </xf>
    <xf numFmtId="16" fontId="81" fillId="38" borderId="31" xfId="0" applyNumberFormat="1" applyFont="1" applyFill="1" applyBorder="1" applyAlignment="1">
      <alignment horizontal="center" vertical="top" wrapText="1"/>
    </xf>
    <xf numFmtId="0" fontId="0" fillId="38" borderId="31" xfId="0" applyFont="1" applyFill="1" applyBorder="1" applyAlignment="1">
      <alignment/>
    </xf>
    <xf numFmtId="0" fontId="4" fillId="38" borderId="31" xfId="0" applyFont="1" applyFill="1" applyBorder="1" applyAlignment="1">
      <alignment/>
    </xf>
    <xf numFmtId="0" fontId="32" fillId="38" borderId="31" xfId="0" applyFont="1" applyFill="1" applyBorder="1" applyAlignment="1">
      <alignment horizontal="center" vertical="center"/>
    </xf>
    <xf numFmtId="0" fontId="4" fillId="38" borderId="31" xfId="0" applyFont="1" applyFill="1" applyBorder="1" applyAlignment="1">
      <alignment horizontal="center" vertical="center"/>
    </xf>
    <xf numFmtId="0" fontId="0" fillId="38" borderId="31" xfId="0" applyFont="1" applyFill="1" applyBorder="1" applyAlignment="1">
      <alignment horizontal="center" vertical="center"/>
    </xf>
    <xf numFmtId="0" fontId="33" fillId="38" borderId="31" xfId="0" applyFont="1" applyFill="1" applyBorder="1" applyAlignment="1">
      <alignment vertical="top" wrapText="1"/>
    </xf>
    <xf numFmtId="49" fontId="81" fillId="38" borderId="31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3" fillId="0" borderId="0" xfId="0" applyFont="1" applyAlignment="1">
      <alignment horizontal="center" wrapText="1"/>
    </xf>
    <xf numFmtId="0" fontId="33" fillId="0" borderId="0" xfId="0" applyFont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80" fillId="0" borderId="0" xfId="0" applyFont="1" applyBorder="1" applyAlignment="1">
      <alignment horizontal="left" vertical="top" wrapText="1"/>
    </xf>
    <xf numFmtId="0" fontId="33" fillId="0" borderId="0" xfId="0" applyFont="1" applyAlignment="1">
      <alignment horizontal="left"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81" fillId="0" borderId="0" xfId="0" applyFont="1" applyBorder="1" applyAlignment="1">
      <alignment horizontal="left" vertical="top" wrapText="1"/>
    </xf>
    <xf numFmtId="1" fontId="7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0" fillId="0" borderId="0" xfId="0" applyFont="1" applyBorder="1" applyAlignment="1">
      <alignment vertical="top" wrapText="1"/>
    </xf>
    <xf numFmtId="0" fontId="5" fillId="0" borderId="3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81" fillId="0" borderId="0" xfId="0" applyFont="1" applyFill="1" applyBorder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26" fillId="0" borderId="31" xfId="0" applyFont="1" applyBorder="1" applyAlignment="1">
      <alignment horizontal="center" wrapText="1"/>
    </xf>
    <xf numFmtId="3" fontId="27" fillId="0" borderId="10" xfId="0" applyNumberFormat="1" applyFont="1" applyBorder="1" applyAlignment="1">
      <alignment horizontal="center" wrapText="1"/>
    </xf>
    <xf numFmtId="3" fontId="27" fillId="0" borderId="12" xfId="0" applyNumberFormat="1" applyFont="1" applyBorder="1" applyAlignment="1">
      <alignment horizontal="center" wrapText="1"/>
    </xf>
    <xf numFmtId="3" fontId="27" fillId="0" borderId="20" xfId="0" applyNumberFormat="1" applyFont="1" applyBorder="1" applyAlignment="1">
      <alignment horizontal="center" wrapText="1"/>
    </xf>
    <xf numFmtId="3" fontId="27" fillId="0" borderId="22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14" fillId="0" borderId="31" xfId="0" applyFont="1" applyBorder="1" applyAlignment="1">
      <alignment horizontal="center" vertical="top" wrapText="1"/>
    </xf>
    <xf numFmtId="0" fontId="0" fillId="0" borderId="31" xfId="0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33" fillId="38" borderId="0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33" fillId="38" borderId="0" xfId="0" applyFont="1" applyFill="1" applyAlignment="1">
      <alignment horizontal="center"/>
    </xf>
    <xf numFmtId="0" fontId="25" fillId="38" borderId="0" xfId="0" applyFont="1" applyFill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1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7" fillId="0" borderId="31" xfId="0" applyFont="1" applyBorder="1" applyAlignment="1">
      <alignment horizontal="center" vertical="center" wrapText="1"/>
    </xf>
    <xf numFmtId="3" fontId="86" fillId="0" borderId="31" xfId="0" applyNumberFormat="1" applyFont="1" applyBorder="1" applyAlignment="1">
      <alignment horizontal="center" vertical="center" wrapText="1"/>
    </xf>
    <xf numFmtId="0" fontId="87" fillId="0" borderId="31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top" wrapText="1"/>
    </xf>
    <xf numFmtId="0" fontId="33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0;&#1054;&#1053;&#1054;&#1052;&#1048;&#1057;&#1058;%202019&#1075;&#1086;&#1076;\&#1087;&#1088;&#1077;&#1089;&#1082;&#1091;&#1088;&#1072;&#1085;&#1090;%202019%20&#1075;&#1086;&#1076;&#1072;\&#1055;&#1088;&#1077;&#1081;&#1089;&#1082;&#1091;&#1088;&#1072;&#1085;&#1090;%20&#1089;%2027.12.2019&#1075;.%20(&#1082;&#1072;&#1083;&#1100;&#1082;&#1091;&#1083;&#1103;&#1094;&#1080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рплата за 1 минуту"/>
      <sheetName val="калькуляция"/>
      <sheetName val="сравнительная таблица"/>
      <sheetName val="прейскурант"/>
      <sheetName val="ПЕРЕЧНИ"/>
      <sheetName val="Лист1"/>
      <sheetName val="Лист2"/>
    </sheetNames>
    <sheetDataSet>
      <sheetData sheetId="2">
        <row r="23">
          <cell r="C23" t="str">
            <v>разработка и оформление программы лабораторных исследований, испытаний</v>
          </cell>
          <cell r="D23" t="str">
            <v>программа</v>
          </cell>
        </row>
        <row r="29">
          <cell r="N29">
            <v>0</v>
          </cell>
        </row>
        <row r="30">
          <cell r="D30" t="str">
            <v>консультация</v>
          </cell>
          <cell r="N30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  <row r="56">
          <cell r="N56">
            <v>0</v>
          </cell>
        </row>
        <row r="57">
          <cell r="N57">
            <v>0</v>
          </cell>
        </row>
        <row r="58"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0</v>
          </cell>
        </row>
        <row r="64">
          <cell r="N64">
            <v>0</v>
          </cell>
        </row>
        <row r="65">
          <cell r="N65">
            <v>0</v>
          </cell>
        </row>
        <row r="66">
          <cell r="N66">
            <v>0</v>
          </cell>
        </row>
        <row r="67">
          <cell r="N67">
            <v>0</v>
          </cell>
        </row>
        <row r="68">
          <cell r="N68">
            <v>0</v>
          </cell>
        </row>
        <row r="69">
          <cell r="N69">
            <v>0</v>
          </cell>
        </row>
        <row r="70">
          <cell r="N70">
            <v>0</v>
          </cell>
        </row>
        <row r="75">
          <cell r="N75">
            <v>0</v>
          </cell>
        </row>
        <row r="80">
          <cell r="B80" t="str">
            <v>2.1.1.</v>
          </cell>
          <cell r="C80" t="str">
            <v>воздух атмосферы, жилых, общественных, административных и бытовых помещений:</v>
          </cell>
        </row>
        <row r="81">
          <cell r="B81" t="str">
            <v>2.1.1.1.2.</v>
          </cell>
          <cell r="C81" t="str">
            <v>определение диоксида азота (СФМ, на сорбционные трубки)</v>
          </cell>
          <cell r="D81" t="str">
            <v>исследов.</v>
          </cell>
        </row>
        <row r="82">
          <cell r="B82" t="str">
            <v>2.1.1.31.4.</v>
          </cell>
          <cell r="C82" t="str">
            <v>определение диоксида серы (СФМ с хлоридом бария)</v>
          </cell>
          <cell r="D82" t="str">
            <v>исследов.</v>
          </cell>
        </row>
        <row r="83">
          <cell r="B83" t="str">
            <v>2.1.1.70</v>
          </cell>
          <cell r="C83" t="str">
            <v>определение пыли (взвешенных веществ) </v>
          </cell>
          <cell r="D83" t="str">
            <v>исследов.</v>
          </cell>
        </row>
        <row r="84">
          <cell r="B84" t="str">
            <v>2.1.1.87</v>
          </cell>
          <cell r="C84" t="str">
            <v>определение оксида углерода (электро-химический метод) </v>
          </cell>
          <cell r="D84" t="str">
            <v>исследов.</v>
          </cell>
        </row>
        <row r="85">
          <cell r="B85" t="str">
            <v>2.1.2.199.</v>
          </cell>
          <cell r="C85" t="str">
            <v>экспресс-измерение электрохимическим детектором на газоанализаторе Колион-1В-02: аммиак; ацетон; бутан; бензин; бутилацетат; бензол; винилацетат; гексан; гептан; керосин; диэтиловый эфир; ксилол; метилацетат метилэтилкетон; нефрас; н-октан; пропилен; пент</v>
          </cell>
          <cell r="D85" t="str">
            <v>исследов.</v>
          </cell>
        </row>
        <row r="86">
          <cell r="B86" t="str">
            <v>2.1.2.201</v>
          </cell>
          <cell r="C86" t="str">
            <v>оформление протокола результатов испытаний </v>
          </cell>
          <cell r="D86" t="str">
            <v>исследов.</v>
          </cell>
        </row>
        <row r="87">
          <cell r="B87" t="str">
            <v>2.1.2.202</v>
          </cell>
          <cell r="C87" t="str">
            <v>учет поступления образца в лабораторию </v>
          </cell>
          <cell r="D87" t="str">
            <v>исследов.</v>
          </cell>
        </row>
        <row r="88">
          <cell r="B88" t="str">
            <v>2.1.2.14.2</v>
          </cell>
          <cell r="C88" t="str">
            <v>определение двуокиси серы (сернистый ангидрид) (СФМ, ФЭК)</v>
          </cell>
          <cell r="D88" t="str">
            <v>исследов.</v>
          </cell>
        </row>
        <row r="89">
          <cell r="B89" t="str">
            <v>2.1.2.23.1</v>
          </cell>
          <cell r="C89" t="str">
            <v>определение диоксида азота (СФМ, ФЭК)</v>
          </cell>
          <cell r="D89" t="str">
            <v>исследов.</v>
          </cell>
        </row>
        <row r="90">
          <cell r="B90" t="str">
            <v>2.1.2.25.1</v>
          </cell>
          <cell r="C90" t="str">
            <v>определение аммиака (СФМ, ФЭК)</v>
          </cell>
          <cell r="D90" t="str">
            <v>исследов.</v>
          </cell>
        </row>
        <row r="91">
          <cell r="B91" t="str">
            <v>2.1.2.54.2</v>
          </cell>
          <cell r="C91" t="str">
            <v>определение марганца (СФМ, ФЭК)</v>
          </cell>
          <cell r="D91" t="str">
            <v>исследов.</v>
          </cell>
        </row>
        <row r="92">
          <cell r="B92" t="str">
            <v>2.1.2.56.1</v>
          </cell>
          <cell r="C92" t="str">
            <v>определение серной кислоты (СФМ, ФЭК)</v>
          </cell>
          <cell r="D92" t="str">
            <v>исследов.</v>
          </cell>
        </row>
        <row r="120">
          <cell r="C120" t="str">
            <v>определение цинка:</v>
          </cell>
        </row>
        <row r="128">
          <cell r="B128" t="str">
            <v>2.2.2.3.</v>
          </cell>
        </row>
        <row r="129">
          <cell r="B129" t="str">
            <v>2.2.2.3.1.</v>
          </cell>
          <cell r="C129" t="str">
            <v>определение растворенного кислорода (титриметрический метод)</v>
          </cell>
        </row>
        <row r="130">
          <cell r="B130" t="str">
            <v>2.2.2.4.</v>
          </cell>
          <cell r="C130" t="str">
            <v>определение биологического потребления кислорода (далее - БПК):</v>
          </cell>
        </row>
        <row r="131">
          <cell r="B131" t="str">
            <v>2.2.2.4.1.</v>
          </cell>
          <cell r="C131" t="str">
            <v>определение БПК (титриметрический метод)</v>
          </cell>
        </row>
        <row r="132">
          <cell r="B132" t="str">
            <v>2.2.2.34.</v>
          </cell>
          <cell r="C132" t="str">
            <v>определение аммиака и ионов аммония</v>
          </cell>
        </row>
        <row r="133">
          <cell r="B133" t="str">
            <v>2.2.2.36.</v>
          </cell>
          <cell r="C133" t="str">
            <v>определение хлоридов</v>
          </cell>
        </row>
        <row r="160">
          <cell r="B160" t="str">
            <v>3.1.1.12.4.</v>
          </cell>
          <cell r="C160" t="str">
            <v>определение жира методом Гербера (кислотный метод)</v>
          </cell>
        </row>
        <row r="161">
          <cell r="B161" t="str">
            <v>3.1.1.14.</v>
          </cell>
          <cell r="C161" t="str">
            <v>определение щелочности</v>
          </cell>
        </row>
        <row r="162">
          <cell r="B162" t="str">
            <v>3.1.1.14.1</v>
          </cell>
          <cell r="C162" t="str">
            <v>определение щелочности в мучных кондитерских изделиях</v>
          </cell>
        </row>
        <row r="163">
          <cell r="C163" t="str">
            <v>определение редуцирующих веществ:</v>
          </cell>
        </row>
        <row r="169">
          <cell r="B169" t="str">
            <v>3.1.1.22.</v>
          </cell>
          <cell r="C169" t="str">
            <v>определение воды в меде</v>
          </cell>
        </row>
        <row r="170">
          <cell r="B170" t="str">
            <v>3.1.1.23.</v>
          </cell>
          <cell r="C170" t="str">
            <v>определение оксиметилфурфурола</v>
          </cell>
        </row>
        <row r="171">
          <cell r="B171" t="str">
            <v>3.1.1.23.1.</v>
          </cell>
          <cell r="C171" t="str">
            <v>определение оксиметилфурфурола в меде (качественная реакция)</v>
          </cell>
        </row>
        <row r="188">
          <cell r="B188" t="str">
            <v>3.1.1.96.</v>
          </cell>
          <cell r="C188" t="str">
            <v>определение показателя преломления</v>
          </cell>
        </row>
        <row r="193">
          <cell r="B193" t="str">
            <v>3.1.3.9.</v>
          </cell>
          <cell r="C193" t="str">
            <v>определение хлорорганических пестицидов</v>
          </cell>
        </row>
        <row r="194">
          <cell r="B194" t="str">
            <v>3.1.3.9.1</v>
          </cell>
          <cell r="C194" t="str">
            <v>определение хлорорганических пестицидов в муке, зернобобовых, хлебобулочных, крупе, мясо- и рыбопродуктах (ТСХ)</v>
          </cell>
        </row>
        <row r="195">
          <cell r="B195" t="str">
            <v>3.1.3.9.2</v>
          </cell>
          <cell r="C195" t="str">
            <v>определение хлорорганических пестицидов в плодоовощной продукции (ТСХ)</v>
          </cell>
        </row>
        <row r="196">
          <cell r="B196" t="str">
            <v>3.1.3.9.3</v>
          </cell>
          <cell r="C196" t="str">
            <v>определение хлорорганических пестицидов в молочной продукции (ТСХ)</v>
          </cell>
        </row>
        <row r="197">
          <cell r="B197" t="str">
            <v>3.1.3.9.4</v>
          </cell>
          <cell r="C197" t="str">
            <v>определение хлорорганических пестицидов в кондитерских изделиях, меде (ТСХ)</v>
          </cell>
        </row>
        <row r="198">
          <cell r="B198" t="str">
            <v>3.1.4.3.</v>
          </cell>
          <cell r="C198" t="str">
            <v>определение мышьяка (КФК)</v>
          </cell>
        </row>
        <row r="205">
          <cell r="B205" t="str">
            <v>4.3.</v>
          </cell>
          <cell r="C205" t="str">
            <v>измерение напряженности электрической или магнитной составляющей электромагнитного поля промышленной частоты</v>
          </cell>
          <cell r="N205">
            <v>4.49</v>
          </cell>
        </row>
        <row r="206">
          <cell r="B206" t="str">
            <v>4.8.</v>
          </cell>
          <cell r="C206" t="str">
            <v>измерение ультрафиолетового спектра излучения</v>
          </cell>
          <cell r="N206">
            <v>2.1</v>
          </cell>
        </row>
        <row r="207">
          <cell r="B207" t="str">
            <v>4.9.</v>
          </cell>
          <cell r="C207" t="str">
            <v>измерение естественной или искусственной освещенности</v>
          </cell>
          <cell r="N207">
            <v>0.74</v>
          </cell>
        </row>
        <row r="208">
          <cell r="B208" t="str">
            <v>4.12.</v>
          </cell>
          <cell r="C208" t="str">
            <v>измерение температуры или относительной влажности воздуха</v>
          </cell>
          <cell r="N208">
            <v>0.74</v>
          </cell>
        </row>
        <row r="209">
          <cell r="B209" t="str">
            <v>4.16.</v>
          </cell>
          <cell r="C209" t="str">
            <v>измерение эквивалентного и максимального уровней звука</v>
          </cell>
          <cell r="N209">
            <v>1.66</v>
          </cell>
        </row>
        <row r="210">
          <cell r="B210" t="str">
            <v>4.17.</v>
          </cell>
          <cell r="C210" t="str">
            <v>измерение корректированного и спектральных уровней вибрации в октавных (третьоктавных) полосах частот</v>
          </cell>
          <cell r="N210">
            <v>2.48</v>
          </cell>
        </row>
        <row r="211">
          <cell r="B211" t="str">
            <v>4.18.</v>
          </cell>
          <cell r="C211" t="str">
            <v>измерение эквивалентных корректированного и спектральных уровней вибрации в октавных (третьоктавных) полосах частот</v>
          </cell>
          <cell r="N211">
            <v>2.48</v>
          </cell>
        </row>
        <row r="269">
          <cell r="B269" t="str">
            <v>6.3.1.26.</v>
          </cell>
          <cell r="C269" t="str">
            <v>определение колифагов в воде прямым методом</v>
          </cell>
        </row>
        <row r="270">
          <cell r="B270" t="str">
            <v>6.3.1.27.</v>
          </cell>
          <cell r="C270" t="str">
            <v>обнаружение спор сульфитредуцирующих клостридий в воде:</v>
          </cell>
        </row>
        <row r="294">
          <cell r="B294" t="str">
            <v>6.3.1.47.</v>
          </cell>
          <cell r="C294" t="str">
            <v>определение БГКП в почве</v>
          </cell>
        </row>
        <row r="295">
          <cell r="B295" t="str">
            <v>6.3.1.48.</v>
          </cell>
          <cell r="C295" t="str">
            <v>определение общего микробного числа (далее - ОМЧ) в почве</v>
          </cell>
        </row>
        <row r="296">
          <cell r="B296" t="str">
            <v>6.3.1.49.</v>
          </cell>
          <cell r="C296" t="str">
            <v>определение количества энтерококков в почве</v>
          </cell>
        </row>
        <row r="297">
          <cell r="B297" t="str">
            <v>6.3.1.50.</v>
          </cell>
          <cell r="C297" t="str">
            <v>определение C.perfringens в почве:</v>
          </cell>
        </row>
        <row r="298">
          <cell r="B298" t="str">
            <v>6.3.1.50.1.</v>
          </cell>
          <cell r="C298" t="str">
            <v>при отсутствии роста микроорганизмов</v>
          </cell>
        </row>
        <row r="299">
          <cell r="B299" t="str">
            <v>6.3.1.50.2.</v>
          </cell>
          <cell r="C299" t="str">
            <v>при выделении микроорганизмов с изучением морфологических свойств и идентификацией до вида</v>
          </cell>
        </row>
        <row r="300">
          <cell r="B300" t="str">
            <v>6.3.1.51.</v>
          </cell>
          <cell r="C300" t="str">
            <v>определение наличия патогенных микроорганизмов, в том числе сальмонелл в почве:</v>
          </cell>
        </row>
        <row r="301">
          <cell r="B301" t="str">
            <v>6.3.1.51.1.</v>
          </cell>
          <cell r="C301" t="str">
            <v>при отсутствии роста микроорганизмов</v>
          </cell>
        </row>
        <row r="306">
          <cell r="B306" t="str">
            <v>6.3.1.61.</v>
          </cell>
          <cell r="C306" t="str">
            <v>определение микробиологической чистоты дезинфекционных и антисептических средств</v>
          </cell>
        </row>
        <row r="307">
          <cell r="B307" t="str">
            <v>6.3.1.75.</v>
          </cell>
          <cell r="C307" t="str">
            <v>контроль работы паровых и воздушных стерилизаторов бактериологическим методом</v>
          </cell>
        </row>
        <row r="334">
          <cell r="B334" t="str">
            <v>6.5.1.7.</v>
          </cell>
          <cell r="C334" t="str">
            <v>исследования на аэробные и факультативно-анаэробные микроорганизмы в гное, отделяемом ран, дренажей, абсцессов, в транссудатах, экссудатах:</v>
          </cell>
        </row>
        <row r="335">
          <cell r="B335" t="str">
            <v>6.5.1.7.1.</v>
          </cell>
          <cell r="C335" t="str">
            <v>культуральное исследование при отсутствии микроорганизмов </v>
          </cell>
        </row>
        <row r="336">
          <cell r="B336" t="str">
            <v>6.5.1.7.2.</v>
          </cell>
          <cell r="C336" t="str">
            <v>при выделении микроорганизмов с изучением морфологических свойств</v>
          </cell>
        </row>
        <row r="337">
          <cell r="B337" t="str">
            <v>6.5.1.7.3.</v>
          </cell>
          <cell r="C337" t="str">
            <v>исследование с идентификацией до вида:</v>
          </cell>
        </row>
        <row r="338">
          <cell r="B338" t="str">
            <v>6.5.1.7.3.1.</v>
          </cell>
          <cell r="C338" t="str">
            <v>классическим методом</v>
          </cell>
        </row>
        <row r="339">
          <cell r="B339" t="str">
            <v>6.5.1.9.</v>
          </cell>
          <cell r="C339" t="str">
            <v>исследование на аэробные и факультативно-анаэробные микроорганизмы в желчи:</v>
          </cell>
        </row>
        <row r="340">
          <cell r="B340" t="str">
            <v>6.5.1.9.1.</v>
          </cell>
          <cell r="C340" t="str">
            <v>культуральное исследование при отсутствии микроорганизмов </v>
          </cell>
        </row>
        <row r="341">
          <cell r="B341" t="str">
            <v>6.5.1.9.2.</v>
          </cell>
          <cell r="C341" t="str">
            <v>при выделении микроорганизмов с изучением морфологических свойств</v>
          </cell>
        </row>
        <row r="342">
          <cell r="B342" t="str">
            <v>6.5.1.9.3.</v>
          </cell>
          <cell r="C342" t="str">
            <v>исследование с идентификацией до вида:</v>
          </cell>
        </row>
        <row r="343">
          <cell r="B343" t="str">
            <v>6.5.1.9.3.1.</v>
          </cell>
          <cell r="C343" t="str">
            <v>классическим методом</v>
          </cell>
        </row>
        <row r="344">
          <cell r="B344" t="str">
            <v>6.5.1.10.</v>
          </cell>
          <cell r="C344" t="str">
            <v>исследования на аэробные и факультативно-анаэробные микроорганизмы в отделяемом урогенитального тракта (уретра, половые органы):</v>
          </cell>
        </row>
        <row r="345">
          <cell r="B345" t="str">
            <v>6.5.1.10.1.</v>
          </cell>
          <cell r="C345" t="str">
            <v>культуральное исследование при отсутствии микроорганизмов </v>
          </cell>
        </row>
        <row r="346">
          <cell r="B346" t="str">
            <v>6.5.1.10.2.</v>
          </cell>
          <cell r="C346" t="str">
            <v>при выделении микроорганизмов с изучением морфологических свойств:</v>
          </cell>
        </row>
        <row r="347">
          <cell r="B347" t="str">
            <v>6.5.1.10.2.1</v>
          </cell>
          <cell r="C347" t="str">
            <v>1-2 культурыв </v>
          </cell>
        </row>
        <row r="348">
          <cell r="B348" t="str">
            <v>6.5.1.10.2.2</v>
          </cell>
          <cell r="C348" t="str">
            <v>3 и более культуры</v>
          </cell>
        </row>
        <row r="349">
          <cell r="B349" t="str">
            <v>6.5.1.10.3.</v>
          </cell>
          <cell r="C349" t="str">
            <v>исследование с идентификацией до вида:</v>
          </cell>
        </row>
        <row r="350">
          <cell r="B350" t="str">
            <v>6.5.1.10.3.1</v>
          </cell>
          <cell r="C350" t="str">
            <v>классическим методом</v>
          </cell>
        </row>
        <row r="351">
          <cell r="B351" t="str">
            <v>6.5.1.11.</v>
          </cell>
          <cell r="C351" t="str">
            <v>исследования на аэробные и факультативно-анаэробные микроорганизмы в отделяемом органов чувств (глаз, ухо):</v>
          </cell>
        </row>
        <row r="352">
          <cell r="B352" t="str">
            <v>6.5.1.11.1</v>
          </cell>
          <cell r="C352" t="str">
            <v>культуральное исследование при отсутствии микроорганизмов</v>
          </cell>
        </row>
        <row r="353">
          <cell r="B353" t="str">
            <v>6.5.1.11.2</v>
          </cell>
          <cell r="C353" t="str">
            <v>при выделении микроорганизмов с изучением морфологических свойств</v>
          </cell>
        </row>
        <row r="354">
          <cell r="B354" t="str">
            <v>6.5.1.11.3.</v>
          </cell>
          <cell r="C354" t="str">
            <v>исследование с идентификацией до вида:</v>
          </cell>
        </row>
        <row r="369">
          <cell r="B369" t="str">
            <v>6.5.5.</v>
          </cell>
          <cell r="C369" t="str">
            <v>паразитологические исследования по диагностике и мониторингу инфекционных заболеваний:  </v>
          </cell>
        </row>
        <row r="370">
          <cell r="B370" t="str">
            <v>6.5.5.1.</v>
          </cell>
          <cell r="C370" t="str">
            <v>обнаружение простейших</v>
          </cell>
        </row>
        <row r="371">
          <cell r="B371" t="str">
            <v>6.5.5.2.</v>
          </cell>
          <cell r="C371" t="str">
            <v>обнаружение яиц гельминтов:  </v>
          </cell>
        </row>
        <row r="372">
          <cell r="B372" t="str">
            <v>6.5.5.2.1.</v>
          </cell>
          <cell r="C372" t="str">
            <v>методом Като (1 препарат)</v>
          </cell>
        </row>
        <row r="373">
          <cell r="B373" t="str">
            <v>6.5.5.2.2.</v>
          </cell>
          <cell r="C373" t="str">
            <v>формалин-эфирным методом</v>
          </cell>
        </row>
        <row r="374">
          <cell r="B374" t="str">
            <v>6.5.5.2.5.</v>
          </cell>
          <cell r="C374" t="str">
            <v>обнаружение анкилостом</v>
          </cell>
        </row>
        <row r="375">
          <cell r="B375" t="str">
            <v>6.5.5.3.</v>
          </cell>
          <cell r="C375" t="str">
            <v>исследование перианального соскоба на яйца остриц и онкосферы тениид:</v>
          </cell>
        </row>
        <row r="376">
          <cell r="B376" t="str">
            <v>6.5.5.3.1.</v>
          </cell>
          <cell r="C376" t="str">
            <v>методом липкой ленты</v>
          </cell>
        </row>
        <row r="377">
          <cell r="B377" t="str">
            <v>6.5.5.4.</v>
          </cell>
          <cell r="C377" t="str">
            <v>исследование кала на криптоспоридии:</v>
          </cell>
        </row>
        <row r="378">
          <cell r="B378" t="str">
            <v>6.5.5.4.1.</v>
          </cell>
          <cell r="C378" t="str">
            <v>исследование кала на криптоспоридии методом микроскопии</v>
          </cell>
        </row>
        <row r="379">
          <cell r="B379" t="str">
            <v>6.5.5.5.</v>
          </cell>
          <cell r="C379" t="str">
            <v>исследование кала на лямблиоз:</v>
          </cell>
        </row>
        <row r="380">
          <cell r="B380" t="str">
            <v>6.5.5.5.1.</v>
          </cell>
          <cell r="C380" t="str">
            <v>обнаружение цист лямблий в кале</v>
          </cell>
        </row>
        <row r="381">
          <cell r="B381" t="str">
            <v>6.5.5.7.</v>
          </cell>
          <cell r="C381" t="str">
            <v>исследование крови на малярийные паразиты: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60"/>
  <sheetViews>
    <sheetView zoomScalePageLayoutView="0" workbookViewId="0" topLeftCell="A13">
      <selection activeCell="G40" sqref="G40"/>
    </sheetView>
  </sheetViews>
  <sheetFormatPr defaultColWidth="9.00390625" defaultRowHeight="12.75"/>
  <cols>
    <col min="1" max="1" width="50.875" style="0" customWidth="1"/>
    <col min="2" max="2" width="11.125" style="0" customWidth="1"/>
    <col min="3" max="3" width="10.125" style="0" customWidth="1"/>
    <col min="4" max="4" width="11.125" style="0" customWidth="1"/>
    <col min="5" max="5" width="10.25390625" style="0" customWidth="1"/>
    <col min="6" max="6" width="9.375" style="0" customWidth="1"/>
    <col min="7" max="7" width="8.875" style="0" customWidth="1"/>
    <col min="8" max="8" width="11.00390625" style="0" customWidth="1"/>
    <col min="9" max="9" width="11.125" style="0" customWidth="1"/>
  </cols>
  <sheetData>
    <row r="1" spans="1:9" ht="15.75">
      <c r="A1" s="433" t="s">
        <v>120</v>
      </c>
      <c r="B1" s="433"/>
      <c r="C1" s="433"/>
      <c r="D1" s="433"/>
      <c r="E1" s="433"/>
      <c r="F1" s="433"/>
      <c r="G1" s="433"/>
      <c r="H1" s="433"/>
      <c r="I1" s="433"/>
    </row>
    <row r="2" spans="1:9" ht="14.25">
      <c r="A2" s="436" t="s">
        <v>117</v>
      </c>
      <c r="B2" s="436"/>
      <c r="C2" s="436"/>
      <c r="D2" s="436"/>
      <c r="E2" s="436"/>
      <c r="F2" s="436"/>
      <c r="G2" s="436"/>
      <c r="H2" s="436"/>
      <c r="I2" s="436"/>
    </row>
    <row r="3" spans="1:9" ht="12.75">
      <c r="A3" s="435" t="s">
        <v>118</v>
      </c>
      <c r="B3" s="435"/>
      <c r="C3" s="435"/>
      <c r="D3" s="435"/>
      <c r="E3" s="435"/>
      <c r="F3" s="435"/>
      <c r="G3" s="435"/>
      <c r="H3" s="435"/>
      <c r="I3" s="435"/>
    </row>
    <row r="4" spans="1:9" ht="15.75">
      <c r="A4" s="434" t="s">
        <v>848</v>
      </c>
      <c r="B4" s="434"/>
      <c r="C4" s="434"/>
      <c r="D4" s="434"/>
      <c r="E4" s="434"/>
      <c r="F4" s="434"/>
      <c r="G4" s="434"/>
      <c r="H4" s="434"/>
      <c r="I4" s="434"/>
    </row>
    <row r="5" spans="1:10" ht="15.75">
      <c r="A5" s="434" t="s">
        <v>136</v>
      </c>
      <c r="B5" s="434"/>
      <c r="C5" s="434"/>
      <c r="D5" s="434"/>
      <c r="E5" s="434"/>
      <c r="F5" s="434"/>
      <c r="G5" s="434"/>
      <c r="H5" s="434"/>
      <c r="I5" s="434"/>
      <c r="J5" s="183"/>
    </row>
    <row r="6" ht="12.75">
      <c r="A6" t="s">
        <v>130</v>
      </c>
    </row>
    <row r="7" spans="1:9" ht="54.75" customHeight="1">
      <c r="A7" s="186" t="s">
        <v>119</v>
      </c>
      <c r="B7" s="187" t="s">
        <v>122</v>
      </c>
      <c r="C7" s="187" t="s">
        <v>112</v>
      </c>
      <c r="D7" s="187" t="s">
        <v>113</v>
      </c>
      <c r="E7" s="187" t="s">
        <v>114</v>
      </c>
      <c r="F7" s="187" t="s">
        <v>68</v>
      </c>
      <c r="G7" s="187" t="s">
        <v>66</v>
      </c>
      <c r="H7" s="187" t="s">
        <v>116</v>
      </c>
      <c r="I7" s="187" t="s">
        <v>122</v>
      </c>
    </row>
    <row r="8" spans="1:9" ht="24.75" customHeight="1">
      <c r="A8" s="184" t="s">
        <v>107</v>
      </c>
      <c r="B8" s="227">
        <v>10</v>
      </c>
      <c r="C8" s="227">
        <v>11</v>
      </c>
      <c r="D8" s="227">
        <v>11</v>
      </c>
      <c r="E8" s="227">
        <v>11</v>
      </c>
      <c r="F8" s="227">
        <v>14</v>
      </c>
      <c r="G8" s="227">
        <v>14</v>
      </c>
      <c r="H8" s="227">
        <v>14</v>
      </c>
      <c r="I8" s="227">
        <v>10</v>
      </c>
    </row>
    <row r="9" spans="1:9" ht="15.75">
      <c r="A9" s="184" t="s">
        <v>102</v>
      </c>
      <c r="B9" s="227">
        <v>2.48</v>
      </c>
      <c r="C9" s="227">
        <v>2.65</v>
      </c>
      <c r="D9" s="227">
        <v>2.65</v>
      </c>
      <c r="E9" s="227">
        <v>2.65</v>
      </c>
      <c r="F9" s="227">
        <v>3.25</v>
      </c>
      <c r="G9" s="227">
        <v>3.25</v>
      </c>
      <c r="H9" s="227">
        <v>3.25</v>
      </c>
      <c r="I9" s="227">
        <v>2.48</v>
      </c>
    </row>
    <row r="10" spans="1:9" ht="30.75" customHeight="1">
      <c r="A10" s="309" t="s">
        <v>724</v>
      </c>
      <c r="B10" s="226">
        <v>35.5</v>
      </c>
      <c r="C10" s="226">
        <v>35.5</v>
      </c>
      <c r="D10" s="226">
        <v>35.5</v>
      </c>
      <c r="E10" s="226">
        <v>35.5</v>
      </c>
      <c r="F10" s="226">
        <v>35.5</v>
      </c>
      <c r="G10" s="226">
        <v>35.5</v>
      </c>
      <c r="H10" s="226">
        <v>35.5</v>
      </c>
      <c r="I10" s="226">
        <v>35.5</v>
      </c>
    </row>
    <row r="11" spans="1:9" ht="29.25" customHeight="1">
      <c r="A11" s="309" t="s">
        <v>723</v>
      </c>
      <c r="B11" s="228">
        <v>1.79</v>
      </c>
      <c r="C11" s="227">
        <v>1.685</v>
      </c>
      <c r="D11" s="227">
        <v>1.685</v>
      </c>
      <c r="E11" s="227">
        <v>1.685</v>
      </c>
      <c r="F11" s="227">
        <v>1.407</v>
      </c>
      <c r="G11" s="227">
        <v>1.407</v>
      </c>
      <c r="H11" s="227">
        <v>1.407</v>
      </c>
      <c r="I11" s="228">
        <v>1.79</v>
      </c>
    </row>
    <row r="12" spans="1:9" ht="15">
      <c r="A12" s="184" t="s">
        <v>103</v>
      </c>
      <c r="B12" s="229">
        <f>ROUND(B9*B10*B11,2)</f>
        <v>157.59</v>
      </c>
      <c r="C12" s="229">
        <f aca="true" t="shared" si="0" ref="C12:I12">ROUND(C9*C10*C11,2)</f>
        <v>158.52</v>
      </c>
      <c r="D12" s="229">
        <f t="shared" si="0"/>
        <v>158.52</v>
      </c>
      <c r="E12" s="229">
        <f t="shared" si="0"/>
        <v>158.52</v>
      </c>
      <c r="F12" s="229">
        <f t="shared" si="0"/>
        <v>162.33</v>
      </c>
      <c r="G12" s="229">
        <f t="shared" si="0"/>
        <v>162.33</v>
      </c>
      <c r="H12" s="229">
        <f t="shared" si="0"/>
        <v>162.33</v>
      </c>
      <c r="I12" s="229">
        <f t="shared" si="0"/>
        <v>157.59</v>
      </c>
    </row>
    <row r="13" spans="1:9" ht="43.5" customHeight="1">
      <c r="A13" s="185" t="s">
        <v>108</v>
      </c>
      <c r="B13" s="227"/>
      <c r="C13" s="227">
        <v>0</v>
      </c>
      <c r="D13" s="227">
        <v>70</v>
      </c>
      <c r="E13" s="227">
        <v>0</v>
      </c>
      <c r="F13" s="227">
        <v>0</v>
      </c>
      <c r="G13" s="227">
        <v>0</v>
      </c>
      <c r="H13" s="227">
        <v>75</v>
      </c>
      <c r="I13" s="227"/>
    </row>
    <row r="14" spans="1:9" ht="18.75" customHeight="1">
      <c r="A14" s="185" t="s">
        <v>109</v>
      </c>
      <c r="B14" s="226">
        <f>B10*B13/100</f>
        <v>0</v>
      </c>
      <c r="C14" s="226">
        <f aca="true" t="shared" si="1" ref="C14:H14">C10*C13/100</f>
        <v>0</v>
      </c>
      <c r="D14" s="226">
        <f>D10*D13/100</f>
        <v>24.85</v>
      </c>
      <c r="E14" s="226">
        <f t="shared" si="1"/>
        <v>0</v>
      </c>
      <c r="F14" s="226">
        <f t="shared" si="1"/>
        <v>0</v>
      </c>
      <c r="G14" s="226">
        <f t="shared" si="1"/>
        <v>0</v>
      </c>
      <c r="H14" s="226">
        <f t="shared" si="1"/>
        <v>26.625</v>
      </c>
      <c r="I14" s="226">
        <f>I10*I13/100</f>
        <v>0</v>
      </c>
    </row>
    <row r="15" spans="1:9" ht="22.5" customHeight="1">
      <c r="A15" s="184" t="s">
        <v>111</v>
      </c>
      <c r="B15" s="227">
        <v>20</v>
      </c>
      <c r="C15" s="227">
        <v>20</v>
      </c>
      <c r="D15" s="227">
        <v>20</v>
      </c>
      <c r="E15" s="227">
        <v>20</v>
      </c>
      <c r="F15" s="227">
        <v>20</v>
      </c>
      <c r="G15" s="227">
        <v>20</v>
      </c>
      <c r="H15" s="227">
        <v>20</v>
      </c>
      <c r="I15" s="227">
        <v>20</v>
      </c>
    </row>
    <row r="16" spans="1:9" ht="19.5" customHeight="1">
      <c r="A16" s="184" t="s">
        <v>109</v>
      </c>
      <c r="B16" s="226">
        <f>ROUND(B12*B15/100,2)</f>
        <v>31.52</v>
      </c>
      <c r="C16" s="226">
        <f aca="true" t="shared" si="2" ref="C16:I16">ROUND(C12*C15/100,2)</f>
        <v>31.7</v>
      </c>
      <c r="D16" s="226">
        <f t="shared" si="2"/>
        <v>31.7</v>
      </c>
      <c r="E16" s="226">
        <f t="shared" si="2"/>
        <v>31.7</v>
      </c>
      <c r="F16" s="226">
        <f t="shared" si="2"/>
        <v>32.47</v>
      </c>
      <c r="G16" s="226">
        <f t="shared" si="2"/>
        <v>32.47</v>
      </c>
      <c r="H16" s="226">
        <f t="shared" si="2"/>
        <v>32.47</v>
      </c>
      <c r="I16" s="226">
        <f t="shared" si="2"/>
        <v>31.52</v>
      </c>
    </row>
    <row r="17" spans="1:9" ht="42" customHeight="1">
      <c r="A17" s="184" t="s">
        <v>110</v>
      </c>
      <c r="B17" s="229"/>
      <c r="C17" s="229"/>
      <c r="D17" s="229"/>
      <c r="E17" s="229"/>
      <c r="F17" s="229"/>
      <c r="G17" s="229"/>
      <c r="H17" s="229"/>
      <c r="I17" s="229"/>
    </row>
    <row r="18" spans="1:9" ht="20.25" customHeight="1">
      <c r="A18" s="184" t="s">
        <v>109</v>
      </c>
      <c r="B18" s="226">
        <f>ROUND(B12*B17/100,2)</f>
        <v>0</v>
      </c>
      <c r="C18" s="226">
        <f aca="true" t="shared" si="3" ref="C18:I18">ROUND(C12*C17/100,2)</f>
        <v>0</v>
      </c>
      <c r="D18" s="226">
        <f t="shared" si="3"/>
        <v>0</v>
      </c>
      <c r="E18" s="226">
        <f t="shared" si="3"/>
        <v>0</v>
      </c>
      <c r="F18" s="226">
        <f t="shared" si="3"/>
        <v>0</v>
      </c>
      <c r="G18" s="226">
        <f t="shared" si="3"/>
        <v>0</v>
      </c>
      <c r="H18" s="226">
        <f t="shared" si="3"/>
        <v>0</v>
      </c>
      <c r="I18" s="226">
        <f t="shared" si="3"/>
        <v>0</v>
      </c>
    </row>
    <row r="19" spans="1:9" ht="27.75" customHeight="1">
      <c r="A19" s="184" t="s">
        <v>115</v>
      </c>
      <c r="B19" s="229">
        <v>0</v>
      </c>
      <c r="C19" s="229">
        <v>0</v>
      </c>
      <c r="D19" s="229">
        <v>0</v>
      </c>
      <c r="E19" s="229">
        <v>0</v>
      </c>
      <c r="F19" s="229">
        <v>25</v>
      </c>
      <c r="G19" s="229">
        <v>25</v>
      </c>
      <c r="H19" s="229">
        <v>25</v>
      </c>
      <c r="I19" s="229">
        <v>0</v>
      </c>
    </row>
    <row r="20" spans="1:9" ht="27.75" customHeight="1">
      <c r="A20" s="184" t="s">
        <v>109</v>
      </c>
      <c r="B20" s="226">
        <f>ROUND(B12*B19/100,2)</f>
        <v>0</v>
      </c>
      <c r="C20" s="226">
        <f aca="true" t="shared" si="4" ref="C20:I20">ROUND(C12*C19/100,2)</f>
        <v>0</v>
      </c>
      <c r="D20" s="226">
        <f t="shared" si="4"/>
        <v>0</v>
      </c>
      <c r="E20" s="226">
        <f t="shared" si="4"/>
        <v>0</v>
      </c>
      <c r="F20" s="226">
        <f t="shared" si="4"/>
        <v>40.58</v>
      </c>
      <c r="G20" s="226">
        <f t="shared" si="4"/>
        <v>40.58</v>
      </c>
      <c r="H20" s="226">
        <f t="shared" si="4"/>
        <v>40.58</v>
      </c>
      <c r="I20" s="226">
        <f t="shared" si="4"/>
        <v>0</v>
      </c>
    </row>
    <row r="21" spans="1:9" ht="27.75" customHeight="1">
      <c r="A21" s="184" t="s">
        <v>121</v>
      </c>
      <c r="B21" s="229">
        <v>40</v>
      </c>
      <c r="C21" s="229">
        <v>40</v>
      </c>
      <c r="D21" s="229">
        <v>40</v>
      </c>
      <c r="E21" s="229">
        <v>40</v>
      </c>
      <c r="F21" s="229">
        <v>50</v>
      </c>
      <c r="G21" s="229">
        <v>50</v>
      </c>
      <c r="H21" s="229">
        <v>50</v>
      </c>
      <c r="I21" s="229">
        <v>40</v>
      </c>
    </row>
    <row r="22" spans="1:9" ht="27.75" customHeight="1">
      <c r="A22" s="184" t="s">
        <v>109</v>
      </c>
      <c r="B22" s="226">
        <f>ROUND(B12*B21/100,2)</f>
        <v>63.04</v>
      </c>
      <c r="C22" s="226">
        <f aca="true" t="shared" si="5" ref="C22:I22">ROUND(C12*C21/100,2)</f>
        <v>63.41</v>
      </c>
      <c r="D22" s="226">
        <f t="shared" si="5"/>
        <v>63.41</v>
      </c>
      <c r="E22" s="226">
        <f t="shared" si="5"/>
        <v>63.41</v>
      </c>
      <c r="F22" s="226">
        <f t="shared" si="5"/>
        <v>81.17</v>
      </c>
      <c r="G22" s="226">
        <f t="shared" si="5"/>
        <v>81.17</v>
      </c>
      <c r="H22" s="226">
        <f t="shared" si="5"/>
        <v>81.17</v>
      </c>
      <c r="I22" s="226">
        <f t="shared" si="5"/>
        <v>63.04</v>
      </c>
    </row>
    <row r="23" spans="1:9" ht="54.75" customHeight="1">
      <c r="A23" s="186" t="s">
        <v>119</v>
      </c>
      <c r="B23" s="187" t="s">
        <v>122</v>
      </c>
      <c r="C23" s="187" t="s">
        <v>112</v>
      </c>
      <c r="D23" s="187" t="s">
        <v>113</v>
      </c>
      <c r="E23" s="187" t="s">
        <v>114</v>
      </c>
      <c r="F23" s="187" t="s">
        <v>68</v>
      </c>
      <c r="G23" s="187" t="s">
        <v>66</v>
      </c>
      <c r="H23" s="187" t="s">
        <v>116</v>
      </c>
      <c r="I23" s="187" t="s">
        <v>122</v>
      </c>
    </row>
    <row r="24" spans="1:9" ht="27.75" customHeight="1">
      <c r="A24" s="192" t="s">
        <v>126</v>
      </c>
      <c r="B24" s="193">
        <v>20</v>
      </c>
      <c r="C24" s="193">
        <v>20</v>
      </c>
      <c r="D24" s="193">
        <v>20</v>
      </c>
      <c r="E24" s="193">
        <v>20</v>
      </c>
      <c r="F24" s="193">
        <v>20</v>
      </c>
      <c r="G24" s="193">
        <v>20</v>
      </c>
      <c r="H24" s="193">
        <v>20</v>
      </c>
      <c r="I24" s="193">
        <v>20</v>
      </c>
    </row>
    <row r="25" spans="1:9" ht="27.75" customHeight="1">
      <c r="A25" s="192" t="s">
        <v>109</v>
      </c>
      <c r="B25" s="216">
        <f>ROUND(B12*B24/100,2)</f>
        <v>31.52</v>
      </c>
      <c r="C25" s="216">
        <f aca="true" t="shared" si="6" ref="C25:I25">ROUND(C12*C24/100,2)</f>
        <v>31.7</v>
      </c>
      <c r="D25" s="216">
        <f t="shared" si="6"/>
        <v>31.7</v>
      </c>
      <c r="E25" s="216">
        <f t="shared" si="6"/>
        <v>31.7</v>
      </c>
      <c r="F25" s="216">
        <f t="shared" si="6"/>
        <v>32.47</v>
      </c>
      <c r="G25" s="216">
        <f t="shared" si="6"/>
        <v>32.47</v>
      </c>
      <c r="H25" s="216">
        <f t="shared" si="6"/>
        <v>32.47</v>
      </c>
      <c r="I25" s="216">
        <f t="shared" si="6"/>
        <v>31.52</v>
      </c>
    </row>
    <row r="26" spans="1:9" ht="27" customHeight="1">
      <c r="A26" s="184" t="s">
        <v>104</v>
      </c>
      <c r="B26" s="215">
        <f aca="true" t="shared" si="7" ref="B26:I26">B12+B14+B16+B18+B20+B22+B25</f>
        <v>283.67</v>
      </c>
      <c r="C26" s="215">
        <f t="shared" si="7"/>
        <v>285.33</v>
      </c>
      <c r="D26" s="215">
        <f t="shared" si="7"/>
        <v>310.18</v>
      </c>
      <c r="E26" s="215">
        <f t="shared" si="7"/>
        <v>285.33</v>
      </c>
      <c r="F26" s="215">
        <f t="shared" si="7"/>
        <v>349.02</v>
      </c>
      <c r="G26" s="215">
        <f t="shared" si="7"/>
        <v>349.02</v>
      </c>
      <c r="H26" s="215">
        <f t="shared" si="7"/>
        <v>375.645</v>
      </c>
      <c r="I26" s="215">
        <f t="shared" si="7"/>
        <v>283.67</v>
      </c>
    </row>
    <row r="27" spans="1:9" ht="27" customHeight="1">
      <c r="A27" s="192" t="s">
        <v>127</v>
      </c>
      <c r="B27" s="193">
        <v>15</v>
      </c>
      <c r="C27" s="193">
        <v>15</v>
      </c>
      <c r="D27" s="193">
        <v>15</v>
      </c>
      <c r="E27" s="193">
        <v>15</v>
      </c>
      <c r="F27" s="193">
        <v>15</v>
      </c>
      <c r="G27" s="193">
        <v>15</v>
      </c>
      <c r="H27" s="193">
        <v>15</v>
      </c>
      <c r="I27" s="193">
        <v>15</v>
      </c>
    </row>
    <row r="28" spans="1:9" ht="27" customHeight="1">
      <c r="A28" s="192" t="s">
        <v>109</v>
      </c>
      <c r="B28" s="216">
        <f>ROUND(B12*B27/100,2)</f>
        <v>23.64</v>
      </c>
      <c r="C28" s="216">
        <f aca="true" t="shared" si="8" ref="C28:I28">ROUND(C12*C27/100,2)</f>
        <v>23.78</v>
      </c>
      <c r="D28" s="216">
        <f t="shared" si="8"/>
        <v>23.78</v>
      </c>
      <c r="E28" s="216">
        <f t="shared" si="8"/>
        <v>23.78</v>
      </c>
      <c r="F28" s="216">
        <f t="shared" si="8"/>
        <v>24.35</v>
      </c>
      <c r="G28" s="216">
        <f t="shared" si="8"/>
        <v>24.35</v>
      </c>
      <c r="H28" s="216">
        <f t="shared" si="8"/>
        <v>24.35</v>
      </c>
      <c r="I28" s="216">
        <f t="shared" si="8"/>
        <v>23.64</v>
      </c>
    </row>
    <row r="29" spans="1:9" ht="27" customHeight="1">
      <c r="A29" s="192" t="s">
        <v>59</v>
      </c>
      <c r="B29" s="193">
        <v>20</v>
      </c>
      <c r="C29" s="193">
        <v>20</v>
      </c>
      <c r="D29" s="193">
        <v>20</v>
      </c>
      <c r="E29" s="193">
        <v>20</v>
      </c>
      <c r="F29" s="193">
        <v>20</v>
      </c>
      <c r="G29" s="193">
        <v>20</v>
      </c>
      <c r="H29" s="193">
        <v>20</v>
      </c>
      <c r="I29" s="193">
        <v>20</v>
      </c>
    </row>
    <row r="30" spans="1:9" ht="27" customHeight="1">
      <c r="A30" s="192" t="s">
        <v>109</v>
      </c>
      <c r="B30" s="216">
        <f>ROUND(B26*B29/100,2)</f>
        <v>56.73</v>
      </c>
      <c r="C30" s="216">
        <f aca="true" t="shared" si="9" ref="C30:I30">ROUND(C26*C29/100,2)</f>
        <v>57.07</v>
      </c>
      <c r="D30" s="216">
        <f t="shared" si="9"/>
        <v>62.04</v>
      </c>
      <c r="E30" s="216">
        <f t="shared" si="9"/>
        <v>57.07</v>
      </c>
      <c r="F30" s="216">
        <f>ROUND(F26*F29/100,2)</f>
        <v>69.8</v>
      </c>
      <c r="G30" s="216">
        <f t="shared" si="9"/>
        <v>69.8</v>
      </c>
      <c r="H30" s="216">
        <f t="shared" si="9"/>
        <v>75.13</v>
      </c>
      <c r="I30" s="216">
        <f t="shared" si="9"/>
        <v>56.73</v>
      </c>
    </row>
    <row r="31" spans="1:9" ht="27" customHeight="1">
      <c r="A31" s="192" t="s">
        <v>128</v>
      </c>
      <c r="B31" s="193">
        <v>10</v>
      </c>
      <c r="C31" s="193">
        <v>10</v>
      </c>
      <c r="D31" s="193">
        <v>10</v>
      </c>
      <c r="E31" s="193">
        <v>10</v>
      </c>
      <c r="F31" s="193">
        <v>10</v>
      </c>
      <c r="G31" s="193">
        <v>10</v>
      </c>
      <c r="H31" s="193">
        <v>10</v>
      </c>
      <c r="I31" s="193">
        <v>10</v>
      </c>
    </row>
    <row r="32" spans="1:9" ht="27" customHeight="1">
      <c r="A32" s="192" t="s">
        <v>109</v>
      </c>
      <c r="B32" s="216">
        <f>ROUND(B26*B31/100,2)</f>
        <v>28.37</v>
      </c>
      <c r="C32" s="216">
        <f aca="true" t="shared" si="10" ref="C32:I32">ROUND(C26*C31/100,2)</f>
        <v>28.53</v>
      </c>
      <c r="D32" s="216">
        <f t="shared" si="10"/>
        <v>31.02</v>
      </c>
      <c r="E32" s="216">
        <f t="shared" si="10"/>
        <v>28.53</v>
      </c>
      <c r="F32" s="216">
        <f t="shared" si="10"/>
        <v>34.9</v>
      </c>
      <c r="G32" s="216">
        <f t="shared" si="10"/>
        <v>34.9</v>
      </c>
      <c r="H32" s="216">
        <f t="shared" si="10"/>
        <v>37.56</v>
      </c>
      <c r="I32" s="216">
        <f t="shared" si="10"/>
        <v>28.37</v>
      </c>
    </row>
    <row r="33" spans="1:9" ht="27" customHeight="1">
      <c r="A33" s="309" t="s">
        <v>725</v>
      </c>
      <c r="B33" s="193">
        <v>13</v>
      </c>
      <c r="C33" s="193">
        <v>13</v>
      </c>
      <c r="D33" s="193">
        <v>13</v>
      </c>
      <c r="E33" s="193">
        <v>13</v>
      </c>
      <c r="F33" s="193">
        <v>20</v>
      </c>
      <c r="G33" s="193">
        <v>20</v>
      </c>
      <c r="H33" s="193">
        <v>20</v>
      </c>
      <c r="I33" s="193">
        <v>13</v>
      </c>
    </row>
    <row r="34" spans="1:9" ht="27" customHeight="1">
      <c r="A34" s="192" t="s">
        <v>109</v>
      </c>
      <c r="B34" s="216">
        <f aca="true" t="shared" si="11" ref="B34:I34">ROUND(B26*B33/100,2)</f>
        <v>36.88</v>
      </c>
      <c r="C34" s="216">
        <f t="shared" si="11"/>
        <v>37.09</v>
      </c>
      <c r="D34" s="216">
        <f t="shared" si="11"/>
        <v>40.32</v>
      </c>
      <c r="E34" s="216">
        <f t="shared" si="11"/>
        <v>37.09</v>
      </c>
      <c r="F34" s="216">
        <f t="shared" si="11"/>
        <v>69.8</v>
      </c>
      <c r="G34" s="216">
        <f t="shared" si="11"/>
        <v>69.8</v>
      </c>
      <c r="H34" s="216">
        <f t="shared" si="11"/>
        <v>75.13</v>
      </c>
      <c r="I34" s="216">
        <f t="shared" si="11"/>
        <v>36.88</v>
      </c>
    </row>
    <row r="35" spans="1:9" ht="36" customHeight="1">
      <c r="A35" s="185" t="s">
        <v>135</v>
      </c>
      <c r="B35" s="196">
        <v>1940.1</v>
      </c>
      <c r="C35" s="196">
        <v>1940.1</v>
      </c>
      <c r="D35" s="196">
        <v>1940.1</v>
      </c>
      <c r="E35" s="196">
        <v>1940.1</v>
      </c>
      <c r="F35" s="196">
        <v>1940.1</v>
      </c>
      <c r="G35" s="196">
        <v>1940.1</v>
      </c>
      <c r="H35" s="196">
        <v>1940.1</v>
      </c>
      <c r="I35" s="196">
        <v>1940.1</v>
      </c>
    </row>
    <row r="36" spans="1:9" ht="29.25" customHeight="1">
      <c r="A36" s="185" t="s">
        <v>105</v>
      </c>
      <c r="B36" s="188">
        <f>ROUND(B35/12,1)</f>
        <v>161.7</v>
      </c>
      <c r="C36" s="188">
        <f aca="true" t="shared" si="12" ref="C36:I36">ROUND(C35/12,1)</f>
        <v>161.7</v>
      </c>
      <c r="D36" s="188">
        <f t="shared" si="12"/>
        <v>161.7</v>
      </c>
      <c r="E36" s="188">
        <f t="shared" si="12"/>
        <v>161.7</v>
      </c>
      <c r="F36" s="188">
        <f t="shared" si="12"/>
        <v>161.7</v>
      </c>
      <c r="G36" s="188">
        <f t="shared" si="12"/>
        <v>161.7</v>
      </c>
      <c r="H36" s="188">
        <f t="shared" si="12"/>
        <v>161.7</v>
      </c>
      <c r="I36" s="188">
        <f t="shared" si="12"/>
        <v>161.7</v>
      </c>
    </row>
    <row r="37" spans="1:9" ht="30" customHeight="1">
      <c r="A37" s="185" t="s">
        <v>106</v>
      </c>
      <c r="B37" s="212">
        <f>ROUND((B26+B28+B30+B32+B34)/B36/60,4)</f>
        <v>0.0442</v>
      </c>
      <c r="C37" s="212">
        <f aca="true" t="shared" si="13" ref="C37:I37">ROUND((C26+C28+C30+C32+C34)/C36/60,4)</f>
        <v>0.0445</v>
      </c>
      <c r="D37" s="212">
        <f t="shared" si="13"/>
        <v>0.0482</v>
      </c>
      <c r="E37" s="212">
        <f t="shared" si="13"/>
        <v>0.0445</v>
      </c>
      <c r="F37" s="212">
        <f t="shared" si="13"/>
        <v>0.0565</v>
      </c>
      <c r="G37" s="212">
        <f>ROUND((G26+G28+G30+G32+G34)/G36/60,4)</f>
        <v>0.0565</v>
      </c>
      <c r="H37" s="212">
        <f t="shared" si="13"/>
        <v>0.0606</v>
      </c>
      <c r="I37" s="212">
        <f t="shared" si="13"/>
        <v>0.0442</v>
      </c>
    </row>
    <row r="38" ht="12.75">
      <c r="A38" s="182"/>
    </row>
    <row r="39" spans="1:6" ht="12.75">
      <c r="A39" s="180"/>
      <c r="F39">
        <f>(F26+F28+F30+F32+F34)/161.7/60</f>
        <v>0.05646980004122862</v>
      </c>
    </row>
    <row r="40" spans="1:6" ht="12.75">
      <c r="A40" s="180" t="s">
        <v>1</v>
      </c>
      <c r="F40" t="s">
        <v>849</v>
      </c>
    </row>
    <row r="41" ht="12.75">
      <c r="A41" s="180"/>
    </row>
    <row r="42" spans="1:6" ht="12.75">
      <c r="A42" s="180" t="s">
        <v>101</v>
      </c>
      <c r="F42" t="s">
        <v>849</v>
      </c>
    </row>
    <row r="43" ht="12.75">
      <c r="A43" s="180"/>
    </row>
    <row r="44" ht="12.75">
      <c r="A44" s="180"/>
    </row>
    <row r="45" ht="12.75">
      <c r="A45" s="180"/>
    </row>
    <row r="46" ht="12.75">
      <c r="A46" s="180"/>
    </row>
    <row r="47" ht="12.75">
      <c r="A47" s="180"/>
    </row>
    <row r="48" ht="12.75">
      <c r="A48" s="180"/>
    </row>
    <row r="49" ht="12.75">
      <c r="A49" s="180"/>
    </row>
    <row r="50" ht="12.75">
      <c r="A50" s="180"/>
    </row>
    <row r="51" ht="12.75">
      <c r="A51" s="180"/>
    </row>
    <row r="52" ht="12.75">
      <c r="A52" s="180"/>
    </row>
    <row r="53" ht="12.75">
      <c r="A53" s="180"/>
    </row>
    <row r="54" ht="12.75">
      <c r="A54" s="180"/>
    </row>
    <row r="55" ht="12.75">
      <c r="A55" s="180"/>
    </row>
    <row r="56" ht="12.75">
      <c r="A56" s="180"/>
    </row>
    <row r="57" ht="12.75">
      <c r="A57" s="180"/>
    </row>
    <row r="58" ht="12.75">
      <c r="A58" s="180"/>
    </row>
    <row r="59" ht="12.75">
      <c r="A59" s="180"/>
    </row>
    <row r="60" ht="12.75">
      <c r="A60" s="180"/>
    </row>
  </sheetData>
  <sheetProtection/>
  <mergeCells count="5">
    <mergeCell ref="A1:I1"/>
    <mergeCell ref="A5:I5"/>
    <mergeCell ref="A3:I3"/>
    <mergeCell ref="A4:I4"/>
    <mergeCell ref="A2:I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DK435"/>
  <sheetViews>
    <sheetView zoomScalePageLayoutView="0" workbookViewId="0" topLeftCell="AI327">
      <selection activeCell="AY330" sqref="AY330"/>
    </sheetView>
  </sheetViews>
  <sheetFormatPr defaultColWidth="9.00390625" defaultRowHeight="12.75"/>
  <cols>
    <col min="1" max="1" width="3.00390625" style="0" customWidth="1"/>
    <col min="2" max="2" width="9.00390625" style="0" customWidth="1"/>
    <col min="3" max="3" width="50.125" style="0" customWidth="1"/>
    <col min="4" max="4" width="4.75390625" style="0" customWidth="1"/>
    <col min="5" max="5" width="7.75390625" style="0" customWidth="1"/>
    <col min="6" max="6" width="6.375" style="0" customWidth="1"/>
    <col min="7" max="8" width="6.125" style="0" customWidth="1"/>
    <col min="9" max="9" width="5.875" style="0" customWidth="1"/>
    <col min="10" max="10" width="6.00390625" style="0" customWidth="1"/>
    <col min="11" max="11" width="7.625" style="0" customWidth="1"/>
    <col min="12" max="12" width="5.00390625" style="0" customWidth="1"/>
    <col min="13" max="13" width="5.375" style="0" customWidth="1"/>
    <col min="14" max="14" width="5.625" style="0" customWidth="1"/>
    <col min="15" max="15" width="9.75390625" style="0" customWidth="1"/>
    <col min="16" max="16" width="9.00390625" style="0" customWidth="1"/>
    <col min="17" max="17" width="28.00390625" style="0" customWidth="1"/>
    <col min="18" max="18" width="24.375" style="0" customWidth="1"/>
    <col min="19" max="19" width="6.625" style="0" customWidth="1"/>
    <col min="20" max="20" width="10.25390625" style="0" customWidth="1"/>
    <col min="21" max="21" width="7.00390625" style="0" customWidth="1"/>
    <col min="22" max="22" width="7.75390625" style="0" customWidth="1"/>
    <col min="23" max="23" width="6.75390625" style="0" customWidth="1"/>
    <col min="24" max="24" width="6.25390625" style="0" customWidth="1"/>
    <col min="25" max="25" width="6.00390625" style="0" customWidth="1"/>
    <col min="26" max="26" width="6.25390625" style="0" customWidth="1"/>
    <col min="27" max="27" width="6.375" style="0" customWidth="1"/>
    <col min="28" max="28" width="6.875" style="0" customWidth="1"/>
    <col min="29" max="29" width="6.125" style="0" customWidth="1"/>
    <col min="30" max="30" width="6.75390625" style="0" customWidth="1"/>
    <col min="33" max="33" width="10.25390625" style="0" customWidth="1"/>
    <col min="34" max="34" width="48.125" style="0" customWidth="1"/>
    <col min="42" max="42" width="1.625" style="0" customWidth="1"/>
    <col min="43" max="43" width="8.875" style="0" customWidth="1"/>
    <col min="44" max="44" width="50.875" style="0" customWidth="1"/>
    <col min="45" max="45" width="6.125" style="0" customWidth="1"/>
    <col min="46" max="46" width="6.00390625" style="0" customWidth="1"/>
    <col min="47" max="47" width="6.375" style="0" customWidth="1"/>
    <col min="48" max="48" width="7.25390625" style="0" customWidth="1"/>
    <col min="49" max="49" width="5.00390625" style="0" customWidth="1"/>
    <col min="50" max="50" width="5.125" style="0" customWidth="1"/>
    <col min="51" max="51" width="6.875" style="0" customWidth="1"/>
    <col min="52" max="52" width="6.25390625" style="0" customWidth="1"/>
    <col min="53" max="53" width="5.375" style="0" customWidth="1"/>
    <col min="54" max="54" width="4.875" style="0" customWidth="1"/>
    <col min="55" max="55" width="6.00390625" style="0" customWidth="1"/>
    <col min="56" max="56" width="5.875" style="0" customWidth="1"/>
    <col min="57" max="57" width="11.125" style="0" customWidth="1"/>
    <col min="58" max="58" width="37.375" style="0" customWidth="1"/>
    <col min="59" max="59" width="15.875" style="0" customWidth="1"/>
    <col min="60" max="60" width="5.625" style="0" customWidth="1"/>
    <col min="61" max="61" width="7.25390625" style="0" customWidth="1"/>
    <col min="62" max="62" width="7.625" style="0" customWidth="1"/>
    <col min="63" max="63" width="5.875" style="0" customWidth="1"/>
    <col min="64" max="64" width="8.375" style="0" customWidth="1"/>
    <col min="65" max="65" width="8.25390625" style="0" customWidth="1"/>
    <col min="66" max="66" width="7.875" style="0" customWidth="1"/>
    <col min="67" max="67" width="6.75390625" style="0" customWidth="1"/>
    <col min="68" max="68" width="7.125" style="0" customWidth="1"/>
    <col min="69" max="69" width="7.75390625" style="0" customWidth="1"/>
    <col min="71" max="71" width="8.125" style="0" customWidth="1"/>
  </cols>
  <sheetData>
    <row r="1" spans="1:72" ht="15">
      <c r="A1" s="1"/>
      <c r="B1" s="2"/>
      <c r="E1" s="3"/>
      <c r="F1" s="3"/>
      <c r="I1" s="448" t="s">
        <v>24</v>
      </c>
      <c r="J1" s="448"/>
      <c r="K1" s="448"/>
      <c r="L1" s="448"/>
      <c r="M1" s="448"/>
      <c r="N1" s="448"/>
      <c r="O1" s="448"/>
      <c r="P1" s="123"/>
      <c r="Q1" s="123"/>
      <c r="R1" s="123"/>
      <c r="S1" s="123"/>
      <c r="T1" s="124"/>
      <c r="U1" s="125"/>
      <c r="V1" s="123"/>
      <c r="W1" s="123"/>
      <c r="X1" s="123"/>
      <c r="Y1" s="123"/>
      <c r="Z1" s="448" t="s">
        <v>24</v>
      </c>
      <c r="AA1" s="448"/>
      <c r="AB1" s="448"/>
      <c r="AC1" s="448"/>
      <c r="AD1" s="448"/>
      <c r="AE1" s="448"/>
      <c r="AF1" s="448"/>
      <c r="AG1" s="2"/>
      <c r="AH1" s="8"/>
      <c r="AI1" s="5"/>
      <c r="AJ1" s="448" t="s">
        <v>24</v>
      </c>
      <c r="AK1" s="448"/>
      <c r="AL1" s="448"/>
      <c r="AM1" s="448"/>
      <c r="AN1" s="448"/>
      <c r="AO1" s="448"/>
      <c r="AP1" s="448"/>
      <c r="AQ1" s="2"/>
      <c r="AT1" s="3"/>
      <c r="AU1" s="3"/>
      <c r="AX1" s="448" t="s">
        <v>24</v>
      </c>
      <c r="AY1" s="448"/>
      <c r="AZ1" s="448"/>
      <c r="BA1" s="448"/>
      <c r="BB1" s="448"/>
      <c r="BC1" s="448"/>
      <c r="BD1" s="448"/>
      <c r="BE1" s="123"/>
      <c r="BF1" s="123"/>
      <c r="BG1" s="123"/>
      <c r="BH1" s="124"/>
      <c r="BI1" s="125"/>
      <c r="BJ1" s="123"/>
      <c r="BK1" s="123"/>
      <c r="BL1" s="123"/>
      <c r="BM1" s="123"/>
      <c r="BN1" s="448" t="s">
        <v>24</v>
      </c>
      <c r="BO1" s="448"/>
      <c r="BP1" s="448"/>
      <c r="BQ1" s="448"/>
      <c r="BR1" s="448"/>
      <c r="BS1" s="448"/>
      <c r="BT1" s="448"/>
    </row>
    <row r="2" spans="1:72" ht="12.75">
      <c r="A2" s="1"/>
      <c r="B2" s="2"/>
      <c r="E2" s="3"/>
      <c r="F2" s="3"/>
      <c r="I2" s="103" t="s">
        <v>850</v>
      </c>
      <c r="J2" s="103"/>
      <c r="K2" s="4"/>
      <c r="N2" s="103"/>
      <c r="O2" s="103"/>
      <c r="P2" s="123"/>
      <c r="Q2" s="123"/>
      <c r="R2" s="123"/>
      <c r="S2" s="126"/>
      <c r="T2" s="124"/>
      <c r="U2" s="123"/>
      <c r="V2" s="123"/>
      <c r="W2" s="123"/>
      <c r="X2" s="123"/>
      <c r="Y2" s="123"/>
      <c r="Z2" s="103" t="s">
        <v>62</v>
      </c>
      <c r="AA2" s="103"/>
      <c r="AB2" s="4"/>
      <c r="AE2" s="103"/>
      <c r="AF2" s="103"/>
      <c r="AG2" s="2"/>
      <c r="AH2" s="8"/>
      <c r="AI2" s="5"/>
      <c r="AJ2" s="103" t="s">
        <v>62</v>
      </c>
      <c r="AK2" s="103"/>
      <c r="AL2" s="4"/>
      <c r="AO2" s="103"/>
      <c r="AP2" s="103"/>
      <c r="AQ2" s="2"/>
      <c r="AT2" s="3"/>
      <c r="AU2" s="3"/>
      <c r="AX2" s="103" t="s">
        <v>62</v>
      </c>
      <c r="AY2" s="103"/>
      <c r="AZ2" s="4"/>
      <c r="BC2" s="103"/>
      <c r="BD2" s="103"/>
      <c r="BE2" s="123"/>
      <c r="BF2" s="123"/>
      <c r="BG2" s="126"/>
      <c r="BH2" s="124"/>
      <c r="BI2" s="123"/>
      <c r="BJ2" s="123"/>
      <c r="BK2" s="123"/>
      <c r="BL2" s="123"/>
      <c r="BM2" s="123"/>
      <c r="BN2" s="103" t="s">
        <v>62</v>
      </c>
      <c r="BO2" s="103"/>
      <c r="BP2" s="4"/>
      <c r="BS2" s="103"/>
      <c r="BT2" s="103"/>
    </row>
    <row r="3" spans="1:72" ht="12.75">
      <c r="A3" s="90"/>
      <c r="B3" s="91"/>
      <c r="C3" s="92"/>
      <c r="D3" s="92"/>
      <c r="E3" s="93"/>
      <c r="F3" s="93"/>
      <c r="G3" s="92"/>
      <c r="H3" s="92"/>
      <c r="I3" s="104" t="s">
        <v>63</v>
      </c>
      <c r="J3" s="104"/>
      <c r="K3" s="4"/>
      <c r="N3" s="104"/>
      <c r="O3" s="104"/>
      <c r="P3" s="123"/>
      <c r="Q3" s="127"/>
      <c r="R3" s="123"/>
      <c r="S3" s="123"/>
      <c r="T3" s="124"/>
      <c r="U3" s="123"/>
      <c r="V3" s="123"/>
      <c r="W3" s="123"/>
      <c r="X3" s="123"/>
      <c r="Y3" s="123"/>
      <c r="Z3" s="104" t="s">
        <v>63</v>
      </c>
      <c r="AA3" s="104"/>
      <c r="AB3" s="4"/>
      <c r="AE3" s="104"/>
      <c r="AF3" s="104"/>
      <c r="AG3" s="2"/>
      <c r="AH3" s="8"/>
      <c r="AI3" s="5"/>
      <c r="AJ3" s="104" t="s">
        <v>63</v>
      </c>
      <c r="AK3" s="104"/>
      <c r="AL3" s="4"/>
      <c r="AO3" s="104"/>
      <c r="AP3" s="104"/>
      <c r="AQ3" s="91"/>
      <c r="AR3" s="92"/>
      <c r="AS3" s="92"/>
      <c r="AT3" s="93"/>
      <c r="AU3" s="93"/>
      <c r="AV3" s="92"/>
      <c r="AW3" s="92"/>
      <c r="AX3" s="104" t="s">
        <v>63</v>
      </c>
      <c r="AY3" s="104"/>
      <c r="AZ3" s="4"/>
      <c r="BC3" s="104"/>
      <c r="BD3" s="104"/>
      <c r="BE3" s="123"/>
      <c r="BF3" s="123"/>
      <c r="BG3" s="123"/>
      <c r="BH3" s="124"/>
      <c r="BI3" s="123"/>
      <c r="BJ3" s="123"/>
      <c r="BK3" s="123"/>
      <c r="BL3" s="123"/>
      <c r="BM3" s="123"/>
      <c r="BN3" s="104" t="s">
        <v>63</v>
      </c>
      <c r="BO3" s="104"/>
      <c r="BP3" s="4"/>
      <c r="BS3" s="104"/>
      <c r="BT3" s="104"/>
    </row>
    <row r="4" spans="1:72" ht="12.75">
      <c r="A4" s="112"/>
      <c r="B4" s="91"/>
      <c r="C4" s="92"/>
      <c r="D4" s="92"/>
      <c r="E4" s="93"/>
      <c r="F4" s="93"/>
      <c r="G4" s="92"/>
      <c r="H4" s="110"/>
      <c r="I4" s="449"/>
      <c r="J4" s="449"/>
      <c r="K4" s="449"/>
      <c r="L4" s="449"/>
      <c r="M4" s="449"/>
      <c r="N4" s="449"/>
      <c r="O4" s="449"/>
      <c r="P4" s="123"/>
      <c r="Q4" s="128"/>
      <c r="R4" s="123"/>
      <c r="S4" s="129"/>
      <c r="T4" s="124"/>
      <c r="U4" s="127"/>
      <c r="V4" s="123"/>
      <c r="W4" s="123"/>
      <c r="X4" s="123"/>
      <c r="Y4" s="123"/>
      <c r="Z4" s="449"/>
      <c r="AA4" s="449"/>
      <c r="AB4" s="449"/>
      <c r="AC4" s="449"/>
      <c r="AD4" s="449"/>
      <c r="AE4" s="449"/>
      <c r="AF4" s="449"/>
      <c r="AG4" s="2"/>
      <c r="AH4" s="8"/>
      <c r="AI4" s="5"/>
      <c r="AJ4" s="449"/>
      <c r="AK4" s="449"/>
      <c r="AL4" s="449"/>
      <c r="AM4" s="449"/>
      <c r="AN4" s="449"/>
      <c r="AO4" s="449"/>
      <c r="AP4" s="449"/>
      <c r="AQ4" s="91"/>
      <c r="AR4" s="92"/>
      <c r="AS4" s="92"/>
      <c r="AT4" s="93"/>
      <c r="AU4" s="93"/>
      <c r="AV4" s="92"/>
      <c r="AW4" s="110"/>
      <c r="AX4" s="449"/>
      <c r="AY4" s="449"/>
      <c r="AZ4" s="449"/>
      <c r="BA4" s="449"/>
      <c r="BB4" s="449"/>
      <c r="BC4" s="449"/>
      <c r="BD4" s="449"/>
      <c r="BE4" s="123"/>
      <c r="BF4" s="123"/>
      <c r="BG4" s="129"/>
      <c r="BH4" s="124"/>
      <c r="BI4" s="127"/>
      <c r="BJ4" s="123"/>
      <c r="BK4" s="123"/>
      <c r="BL4" s="123"/>
      <c r="BM4" s="123"/>
      <c r="BN4" s="449"/>
      <c r="BO4" s="449"/>
      <c r="BP4" s="449"/>
      <c r="BQ4" s="449"/>
      <c r="BR4" s="449"/>
      <c r="BS4" s="449"/>
      <c r="BT4" s="449"/>
    </row>
    <row r="5" spans="1:72" ht="12.75">
      <c r="A5" s="95"/>
      <c r="B5" s="96"/>
      <c r="C5" s="94"/>
      <c r="D5" s="94"/>
      <c r="E5" s="97"/>
      <c r="F5" s="97"/>
      <c r="G5" s="94"/>
      <c r="H5" s="110"/>
      <c r="I5" s="104" t="s">
        <v>851</v>
      </c>
      <c r="J5" s="104"/>
      <c r="K5" s="21"/>
      <c r="L5" s="19"/>
      <c r="M5" s="19"/>
      <c r="N5" s="104"/>
      <c r="O5" s="104"/>
      <c r="P5" s="130"/>
      <c r="Q5" s="130"/>
      <c r="R5" s="130"/>
      <c r="S5" s="129"/>
      <c r="T5" s="131"/>
      <c r="U5" s="130"/>
      <c r="V5" s="130"/>
      <c r="W5" s="130"/>
      <c r="X5" s="130"/>
      <c r="Y5" s="130"/>
      <c r="Z5" s="104" t="s">
        <v>64</v>
      </c>
      <c r="AA5" s="104"/>
      <c r="AB5" s="21"/>
      <c r="AC5" s="19"/>
      <c r="AD5" s="19"/>
      <c r="AE5" s="104"/>
      <c r="AF5" s="104"/>
      <c r="AG5" s="23"/>
      <c r="AH5" s="8"/>
      <c r="AI5" s="11"/>
      <c r="AJ5" s="104" t="s">
        <v>64</v>
      </c>
      <c r="AK5" s="104"/>
      <c r="AL5" s="21"/>
      <c r="AM5" s="19"/>
      <c r="AN5" s="19"/>
      <c r="AO5" s="104"/>
      <c r="AP5" s="104"/>
      <c r="AQ5" s="96"/>
      <c r="AR5" s="94"/>
      <c r="AS5" s="94"/>
      <c r="AT5" s="97"/>
      <c r="AU5" s="97"/>
      <c r="AV5" s="94"/>
      <c r="AW5" s="110"/>
      <c r="AX5" s="104" t="s">
        <v>64</v>
      </c>
      <c r="AY5" s="104"/>
      <c r="AZ5" s="21"/>
      <c r="BA5" s="19"/>
      <c r="BB5" s="19"/>
      <c r="BC5" s="104"/>
      <c r="BD5" s="104"/>
      <c r="BE5" s="130"/>
      <c r="BF5" s="130"/>
      <c r="BG5" s="129"/>
      <c r="BH5" s="131"/>
      <c r="BI5" s="130"/>
      <c r="BJ5" s="130"/>
      <c r="BK5" s="130"/>
      <c r="BL5" s="130"/>
      <c r="BM5" s="130"/>
      <c r="BN5" s="104" t="s">
        <v>64</v>
      </c>
      <c r="BO5" s="104"/>
      <c r="BP5" s="21"/>
      <c r="BQ5" s="19"/>
      <c r="BR5" s="19"/>
      <c r="BS5" s="104"/>
      <c r="BT5" s="104"/>
    </row>
    <row r="6" spans="1:72" ht="12.75">
      <c r="A6" s="95"/>
      <c r="B6" s="96"/>
      <c r="C6" s="94"/>
      <c r="D6" s="94"/>
      <c r="E6" s="97"/>
      <c r="F6" s="97"/>
      <c r="G6" s="94"/>
      <c r="H6" s="111"/>
      <c r="I6" s="449"/>
      <c r="J6" s="449"/>
      <c r="K6" s="449"/>
      <c r="L6" s="449"/>
      <c r="M6" s="449"/>
      <c r="N6" s="449"/>
      <c r="O6" s="449"/>
      <c r="P6" s="130"/>
      <c r="Q6" s="130"/>
      <c r="R6" s="130"/>
      <c r="S6" s="129"/>
      <c r="T6" s="131"/>
      <c r="U6" s="130"/>
      <c r="V6" s="130"/>
      <c r="W6" s="130"/>
      <c r="X6" s="130"/>
      <c r="Y6" s="130"/>
      <c r="Z6" s="449"/>
      <c r="AA6" s="449"/>
      <c r="AB6" s="449"/>
      <c r="AC6" s="449"/>
      <c r="AD6" s="449"/>
      <c r="AE6" s="449"/>
      <c r="AF6" s="449"/>
      <c r="AG6" s="23"/>
      <c r="AH6" s="8"/>
      <c r="AI6" s="11"/>
      <c r="AJ6" s="449"/>
      <c r="AK6" s="449"/>
      <c r="AL6" s="449"/>
      <c r="AM6" s="449"/>
      <c r="AN6" s="449"/>
      <c r="AO6" s="449"/>
      <c r="AP6" s="449"/>
      <c r="AQ6" s="96"/>
      <c r="AR6" s="94"/>
      <c r="AS6" s="94"/>
      <c r="AT6" s="97"/>
      <c r="AU6" s="97"/>
      <c r="AV6" s="94"/>
      <c r="AW6" s="111"/>
      <c r="AX6" s="449"/>
      <c r="AY6" s="449"/>
      <c r="AZ6" s="449"/>
      <c r="BA6" s="449"/>
      <c r="BB6" s="449"/>
      <c r="BC6" s="449"/>
      <c r="BD6" s="449"/>
      <c r="BE6" s="130"/>
      <c r="BF6" s="130"/>
      <c r="BG6" s="129"/>
      <c r="BH6" s="131"/>
      <c r="BI6" s="130"/>
      <c r="BJ6" s="130"/>
      <c r="BK6" s="130"/>
      <c r="BL6" s="130"/>
      <c r="BM6" s="130"/>
      <c r="BN6" s="449"/>
      <c r="BO6" s="449"/>
      <c r="BP6" s="449"/>
      <c r="BQ6" s="449"/>
      <c r="BR6" s="449"/>
      <c r="BS6" s="449"/>
      <c r="BT6" s="449"/>
    </row>
    <row r="7" spans="1:72" ht="12.75">
      <c r="A7" s="95"/>
      <c r="B7" s="96"/>
      <c r="C7" s="94"/>
      <c r="D7" s="94"/>
      <c r="E7" s="97"/>
      <c r="F7" s="97"/>
      <c r="G7" s="94"/>
      <c r="H7" s="94"/>
      <c r="I7" s="2" t="s">
        <v>700</v>
      </c>
      <c r="J7" s="103"/>
      <c r="K7" s="21"/>
      <c r="L7" s="19"/>
      <c r="M7" s="19"/>
      <c r="N7" s="103"/>
      <c r="O7" s="103"/>
      <c r="P7" s="130"/>
      <c r="Q7" s="130"/>
      <c r="R7" s="132"/>
      <c r="S7" s="133"/>
      <c r="T7" s="131"/>
      <c r="U7" s="130"/>
      <c r="V7" s="130"/>
      <c r="W7" s="130"/>
      <c r="X7" s="130"/>
      <c r="Y7" s="130"/>
      <c r="Z7" s="2" t="s">
        <v>700</v>
      </c>
      <c r="AA7" s="103"/>
      <c r="AB7" s="21"/>
      <c r="AC7" s="19"/>
      <c r="AD7" s="19"/>
      <c r="AE7" s="103"/>
      <c r="AF7" s="103"/>
      <c r="AG7" s="23"/>
      <c r="AH7" s="8"/>
      <c r="AI7" s="11"/>
      <c r="AJ7" s="2" t="s">
        <v>700</v>
      </c>
      <c r="AK7" s="103"/>
      <c r="AL7" s="21"/>
      <c r="AM7" s="19"/>
      <c r="AN7" s="19"/>
      <c r="AO7" s="103"/>
      <c r="AP7" s="103"/>
      <c r="AQ7" s="96"/>
      <c r="AR7" s="94"/>
      <c r="AS7" s="94"/>
      <c r="AT7" s="97"/>
      <c r="AU7" s="97"/>
      <c r="AV7" s="94"/>
      <c r="AW7" s="94"/>
      <c r="AX7" s="2" t="s">
        <v>700</v>
      </c>
      <c r="AY7" s="103"/>
      <c r="AZ7" s="21"/>
      <c r="BA7" s="19"/>
      <c r="BB7" s="19"/>
      <c r="BC7" s="103"/>
      <c r="BD7" s="103"/>
      <c r="BE7" s="130"/>
      <c r="BF7" s="132"/>
      <c r="BG7" s="133"/>
      <c r="BH7" s="131"/>
      <c r="BI7" s="130"/>
      <c r="BJ7" s="130"/>
      <c r="BK7" s="130"/>
      <c r="BL7" s="130"/>
      <c r="BM7" s="130"/>
      <c r="BN7" s="2" t="s">
        <v>700</v>
      </c>
      <c r="BO7" s="103"/>
      <c r="BP7" s="21"/>
      <c r="BQ7" s="19"/>
      <c r="BR7" s="19"/>
      <c r="BS7" s="103"/>
      <c r="BT7" s="103"/>
    </row>
    <row r="8" spans="1:72" ht="12.75">
      <c r="A8" s="95"/>
      <c r="B8" s="96"/>
      <c r="C8" s="94"/>
      <c r="D8" s="94"/>
      <c r="E8" s="97"/>
      <c r="F8" s="97"/>
      <c r="G8" s="94"/>
      <c r="H8" s="94"/>
      <c r="I8" s="94"/>
      <c r="J8" s="21"/>
      <c r="K8" s="21"/>
      <c r="L8" s="19"/>
      <c r="M8" s="19"/>
      <c r="N8" s="19"/>
      <c r="O8" s="17"/>
      <c r="P8" s="130"/>
      <c r="Q8" s="130"/>
      <c r="R8" s="130"/>
      <c r="S8" s="129"/>
      <c r="T8" s="131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2"/>
      <c r="AG8" s="23"/>
      <c r="AH8" s="8"/>
      <c r="AI8" s="11"/>
      <c r="AJ8" s="130"/>
      <c r="AK8" s="130"/>
      <c r="AL8" s="130"/>
      <c r="AM8" s="130"/>
      <c r="AN8" s="130"/>
      <c r="AO8" s="130"/>
      <c r="AP8" s="12"/>
      <c r="AQ8" s="96"/>
      <c r="AR8" s="94"/>
      <c r="AS8" s="94"/>
      <c r="AT8" s="97"/>
      <c r="AU8" s="97"/>
      <c r="AV8" s="94"/>
      <c r="AW8" s="94"/>
      <c r="AX8" s="94"/>
      <c r="AY8" s="21"/>
      <c r="AZ8" s="21"/>
      <c r="BA8" s="19"/>
      <c r="BB8" s="19"/>
      <c r="BC8" s="19"/>
      <c r="BD8" s="17"/>
      <c r="BE8" s="130"/>
      <c r="BF8" s="130"/>
      <c r="BG8" s="129"/>
      <c r="BH8" s="131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2"/>
    </row>
    <row r="9" spans="1:72" ht="12.75">
      <c r="A9" s="95"/>
      <c r="B9" s="96"/>
      <c r="D9" s="32" t="s">
        <v>30</v>
      </c>
      <c r="E9" s="33"/>
      <c r="F9" s="33"/>
      <c r="G9" s="8"/>
      <c r="H9" s="8"/>
      <c r="I9" s="8"/>
      <c r="J9" s="34"/>
      <c r="K9" s="34"/>
      <c r="O9" s="17"/>
      <c r="P9" s="130"/>
      <c r="Q9" s="130"/>
      <c r="R9" s="130"/>
      <c r="S9" s="129"/>
      <c r="T9" s="131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2"/>
      <c r="AG9" s="23"/>
      <c r="AH9" s="8"/>
      <c r="AI9" s="11"/>
      <c r="AJ9" s="12"/>
      <c r="AK9" s="12"/>
      <c r="AL9" s="13"/>
      <c r="AM9" s="13"/>
      <c r="AN9" s="19"/>
      <c r="AO9" s="19"/>
      <c r="AP9" s="95"/>
      <c r="AQ9" s="96"/>
      <c r="AR9" s="116" t="s">
        <v>75</v>
      </c>
      <c r="AS9" s="114"/>
      <c r="AT9" s="114"/>
      <c r="AU9" s="115"/>
      <c r="AV9" s="116"/>
      <c r="AW9" s="114"/>
      <c r="AX9" s="114"/>
      <c r="AY9" s="114"/>
      <c r="AZ9" s="115"/>
      <c r="BA9" s="114"/>
      <c r="BB9" s="114"/>
      <c r="BD9" s="17"/>
      <c r="BE9" s="130"/>
      <c r="BF9" s="130"/>
      <c r="BG9" s="129"/>
      <c r="BH9" s="131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2"/>
    </row>
    <row r="10" spans="1:72" ht="12.75">
      <c r="A10" s="95"/>
      <c r="B10" s="96"/>
      <c r="C10" s="32" t="s">
        <v>73</v>
      </c>
      <c r="D10" s="32"/>
      <c r="E10" s="33"/>
      <c r="F10" s="33"/>
      <c r="G10" s="32"/>
      <c r="H10" s="32"/>
      <c r="I10" s="32"/>
      <c r="J10" s="34"/>
      <c r="K10" s="34"/>
      <c r="O10" s="17"/>
      <c r="P10" s="19"/>
      <c r="Q10" s="19"/>
      <c r="R10" s="19"/>
      <c r="S10" s="19"/>
      <c r="T10" s="22"/>
      <c r="U10" s="26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2"/>
      <c r="AG10" s="23"/>
      <c r="AH10" s="8"/>
      <c r="AI10" s="11"/>
      <c r="AJ10" s="11"/>
      <c r="AK10" s="11"/>
      <c r="AL10" s="14"/>
      <c r="AM10" s="14"/>
      <c r="AN10" s="19"/>
      <c r="AO10" s="19"/>
      <c r="AP10" s="95"/>
      <c r="AQ10" s="96"/>
      <c r="AR10" s="117" t="s">
        <v>76</v>
      </c>
      <c r="AS10" s="116"/>
      <c r="AT10" s="116"/>
      <c r="AU10" s="115"/>
      <c r="AV10" s="116"/>
      <c r="AW10" s="116"/>
      <c r="AX10" s="116"/>
      <c r="AY10" s="114"/>
      <c r="AZ10" s="115"/>
      <c r="BA10" s="114"/>
      <c r="BB10" s="114"/>
      <c r="BD10" s="17"/>
      <c r="BE10" s="19"/>
      <c r="BF10" s="19"/>
      <c r="BG10" s="19"/>
      <c r="BH10" s="22"/>
      <c r="BI10" s="26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2"/>
    </row>
    <row r="11" spans="1:72" ht="12.75">
      <c r="A11" s="95"/>
      <c r="B11" s="91"/>
      <c r="C11" s="32" t="s">
        <v>74</v>
      </c>
      <c r="D11" s="19"/>
      <c r="E11" s="20"/>
      <c r="F11" s="20"/>
      <c r="G11" s="19"/>
      <c r="H11" s="19"/>
      <c r="I11" s="18"/>
      <c r="J11" s="21"/>
      <c r="K11" s="21"/>
      <c r="L11" s="19"/>
      <c r="M11" s="12"/>
      <c r="N11" s="19"/>
      <c r="O11" s="6"/>
      <c r="P11" s="19"/>
      <c r="Q11" s="19"/>
      <c r="R11" s="19"/>
      <c r="S11" s="19"/>
      <c r="T11" s="22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2"/>
      <c r="AG11" s="23"/>
      <c r="AH11" s="8"/>
      <c r="AI11" s="11"/>
      <c r="AJ11" s="11"/>
      <c r="AK11" s="11"/>
      <c r="AL11" s="10"/>
      <c r="AM11" s="10"/>
      <c r="AN11" s="19"/>
      <c r="AO11" s="19"/>
      <c r="AP11" s="95"/>
      <c r="AQ11" s="91"/>
      <c r="AR11" s="32"/>
      <c r="AS11" s="19"/>
      <c r="AT11" s="20"/>
      <c r="AU11" s="20"/>
      <c r="AV11" s="19"/>
      <c r="AW11" s="19"/>
      <c r="AX11" s="18"/>
      <c r="AY11" s="21"/>
      <c r="AZ11" s="21"/>
      <c r="BA11" s="19"/>
      <c r="BB11" s="12"/>
      <c r="BC11" s="19"/>
      <c r="BD11" s="6"/>
      <c r="BE11" s="19"/>
      <c r="BF11" s="19"/>
      <c r="BG11" s="19"/>
      <c r="BH11" s="22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2"/>
    </row>
    <row r="12" spans="1:72" ht="12.75">
      <c r="A12" s="95"/>
      <c r="B12" s="91"/>
      <c r="C12" s="94"/>
      <c r="D12" s="92"/>
      <c r="E12" s="93"/>
      <c r="F12" s="93"/>
      <c r="G12" s="92"/>
      <c r="H12" s="92"/>
      <c r="I12" s="92"/>
      <c r="J12" s="4"/>
      <c r="K12" s="4"/>
      <c r="O12" s="6"/>
      <c r="P12" s="19"/>
      <c r="Q12" s="19"/>
      <c r="R12" s="19"/>
      <c r="S12" s="19"/>
      <c r="T12" s="22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2"/>
      <c r="AG12" s="23"/>
      <c r="AH12" s="8"/>
      <c r="AI12" s="11"/>
      <c r="AJ12" s="11"/>
      <c r="AK12" s="11"/>
      <c r="AL12" s="10"/>
      <c r="AM12" s="10"/>
      <c r="AN12" s="19"/>
      <c r="AO12" s="19"/>
      <c r="AP12" s="95"/>
      <c r="AQ12" s="91"/>
      <c r="AR12" s="94"/>
      <c r="AS12" s="92"/>
      <c r="AT12" s="93"/>
      <c r="AU12" s="93"/>
      <c r="AV12" s="92"/>
      <c r="AW12" s="92"/>
      <c r="AX12" s="92"/>
      <c r="AY12" s="4"/>
      <c r="AZ12" s="4"/>
      <c r="BD12" s="6"/>
      <c r="BE12" s="19"/>
      <c r="BF12" s="19"/>
      <c r="BG12" s="19"/>
      <c r="BH12" s="22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2"/>
    </row>
    <row r="13" spans="1:72" ht="12.75">
      <c r="A13" s="31"/>
      <c r="B13" s="89"/>
      <c r="C13" t="s">
        <v>129</v>
      </c>
      <c r="D13" s="92"/>
      <c r="E13" s="93"/>
      <c r="F13" s="93"/>
      <c r="G13" s="105" t="s">
        <v>65</v>
      </c>
      <c r="H13" s="102"/>
      <c r="I13" s="102"/>
      <c r="J13" s="102"/>
      <c r="K13" s="6"/>
      <c r="L13" s="19"/>
      <c r="M13" s="102"/>
      <c r="N13" s="102"/>
      <c r="O13" s="6"/>
      <c r="P13" s="19"/>
      <c r="Q13" s="19"/>
      <c r="R13" s="19"/>
      <c r="S13" s="19"/>
      <c r="T13" s="22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2"/>
      <c r="AG13" s="23"/>
      <c r="AH13" s="8"/>
      <c r="AI13" s="11"/>
      <c r="AJ13" s="11"/>
      <c r="AK13" s="11"/>
      <c r="AL13" s="10"/>
      <c r="AM13" s="10"/>
      <c r="AN13" s="19"/>
      <c r="AO13" s="19"/>
      <c r="AP13" s="31"/>
      <c r="AQ13" s="89"/>
      <c r="AS13" s="92"/>
      <c r="AT13" s="93"/>
      <c r="AU13" s="93"/>
      <c r="AV13" s="105" t="s">
        <v>65</v>
      </c>
      <c r="AW13" s="102"/>
      <c r="AX13" s="102"/>
      <c r="AY13" s="102"/>
      <c r="AZ13" s="6"/>
      <c r="BA13" s="19"/>
      <c r="BB13" s="102"/>
      <c r="BC13" s="102"/>
      <c r="BD13" s="6"/>
      <c r="BE13" s="19"/>
      <c r="BF13" s="19"/>
      <c r="BG13" s="19"/>
      <c r="BH13" s="22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2"/>
    </row>
    <row r="14" spans="1:72" ht="15">
      <c r="A14" s="31"/>
      <c r="B14" s="2"/>
      <c r="C14" s="16"/>
      <c r="D14" s="92"/>
      <c r="E14" s="93"/>
      <c r="F14" s="93"/>
      <c r="G14" s="4"/>
      <c r="K14" s="6"/>
      <c r="L14" s="19"/>
      <c r="O14" s="6"/>
      <c r="T14" s="7"/>
      <c r="U14" s="15" t="s">
        <v>26</v>
      </c>
      <c r="AF14" s="12"/>
      <c r="AG14" s="23"/>
      <c r="AH14" s="8"/>
      <c r="AI14" s="11"/>
      <c r="AJ14" s="11"/>
      <c r="AK14" s="11"/>
      <c r="AL14" s="10"/>
      <c r="AM14" s="10"/>
      <c r="AN14" s="19"/>
      <c r="AO14" s="19"/>
      <c r="AP14" s="31"/>
      <c r="AQ14" s="2"/>
      <c r="AR14" s="16"/>
      <c r="AS14" s="92"/>
      <c r="AT14" s="93"/>
      <c r="AU14" s="93"/>
      <c r="AV14" s="4"/>
      <c r="AZ14" s="6"/>
      <c r="BA14" s="19"/>
      <c r="BD14" s="6"/>
      <c r="BH14" s="7"/>
      <c r="BI14" s="15" t="s">
        <v>26</v>
      </c>
      <c r="BT14" s="12"/>
    </row>
    <row r="15" spans="1:72" ht="12.75">
      <c r="A15" s="447"/>
      <c r="B15" s="447"/>
      <c r="C15" s="447"/>
      <c r="D15" s="447"/>
      <c r="E15" s="447"/>
      <c r="F15" s="447"/>
      <c r="G15" s="213">
        <f>'зарплата за 1 минуту'!G37</f>
        <v>0.0565</v>
      </c>
      <c r="I15" s="113" t="s">
        <v>66</v>
      </c>
      <c r="J15" s="113"/>
      <c r="K15" s="103"/>
      <c r="L15" s="19"/>
      <c r="M15" s="113"/>
      <c r="N15" s="113"/>
      <c r="O15" s="103"/>
      <c r="R15" s="134" t="s">
        <v>78</v>
      </c>
      <c r="S15" s="16"/>
      <c r="T15" s="7"/>
      <c r="AF15" s="12"/>
      <c r="AG15" s="23"/>
      <c r="AH15" s="8"/>
      <c r="AI15" s="11"/>
      <c r="AJ15" s="11"/>
      <c r="AK15" s="11"/>
      <c r="AL15" s="10"/>
      <c r="AM15" s="10"/>
      <c r="AN15" s="19"/>
      <c r="AO15" s="19"/>
      <c r="AP15" s="447"/>
      <c r="AQ15" s="447"/>
      <c r="AR15" s="447"/>
      <c r="AS15" s="447"/>
      <c r="AT15" s="447"/>
      <c r="AU15" s="447"/>
      <c r="AV15" s="213">
        <f>'зарплата за 1 минуту'!G37</f>
        <v>0.0565</v>
      </c>
      <c r="AX15" s="113" t="s">
        <v>66</v>
      </c>
      <c r="AY15" s="113"/>
      <c r="AZ15" s="103"/>
      <c r="BA15" s="19"/>
      <c r="BB15" s="113"/>
      <c r="BC15" s="113"/>
      <c r="BD15" s="103"/>
      <c r="BF15" s="134" t="s">
        <v>78</v>
      </c>
      <c r="BG15" s="16"/>
      <c r="BH15" s="7"/>
      <c r="BT15" s="12"/>
    </row>
    <row r="16" spans="1:72" ht="12.75">
      <c r="A16" s="106"/>
      <c r="B16" s="107"/>
      <c r="C16" s="109"/>
      <c r="E16" s="3"/>
      <c r="F16" s="3"/>
      <c r="G16" s="213">
        <f>'зарплата за 1 минуту'!H37</f>
        <v>0.0606</v>
      </c>
      <c r="I16" s="113" t="s">
        <v>67</v>
      </c>
      <c r="J16" s="113"/>
      <c r="K16" s="104"/>
      <c r="L16" s="19"/>
      <c r="M16" s="113"/>
      <c r="N16" s="113"/>
      <c r="O16" s="104"/>
      <c r="Q16" s="17"/>
      <c r="T16" s="32" t="s">
        <v>88</v>
      </c>
      <c r="AF16" s="12"/>
      <c r="AG16" s="23"/>
      <c r="AH16" s="8"/>
      <c r="AI16" s="11"/>
      <c r="AJ16" s="11"/>
      <c r="AK16" s="11"/>
      <c r="AL16" s="10"/>
      <c r="AM16" s="10"/>
      <c r="AN16" s="19"/>
      <c r="AO16" s="19"/>
      <c r="AP16" s="106"/>
      <c r="AQ16" s="107" t="s">
        <v>61</v>
      </c>
      <c r="AR16" s="109" t="s">
        <v>59</v>
      </c>
      <c r="AT16" s="3"/>
      <c r="AU16" s="3"/>
      <c r="AV16" s="213">
        <f>'зарплата за 1 минуту'!H37</f>
        <v>0.0606</v>
      </c>
      <c r="AX16" s="113" t="s">
        <v>67</v>
      </c>
      <c r="AY16" s="113"/>
      <c r="AZ16" s="104"/>
      <c r="BA16" s="19"/>
      <c r="BB16" s="113"/>
      <c r="BC16" s="113"/>
      <c r="BD16" s="104"/>
      <c r="BF16" s="150" t="s">
        <v>89</v>
      </c>
      <c r="BH16" s="7"/>
      <c r="BT16" s="12"/>
    </row>
    <row r="17" spans="1:72" ht="12.75">
      <c r="A17" s="106"/>
      <c r="B17" s="108"/>
      <c r="C17" s="109"/>
      <c r="E17" s="3"/>
      <c r="F17" s="3"/>
      <c r="G17" s="213">
        <f>'зарплата за 1 минуту'!F37</f>
        <v>0.0565</v>
      </c>
      <c r="I17" s="113" t="s">
        <v>68</v>
      </c>
      <c r="J17" s="113"/>
      <c r="K17" s="6"/>
      <c r="L17" s="19"/>
      <c r="M17" s="113"/>
      <c r="N17" s="113"/>
      <c r="O17" s="6"/>
      <c r="Q17" s="17" t="s">
        <v>27</v>
      </c>
      <c r="S17" s="129"/>
      <c r="T17" s="7"/>
      <c r="U17" s="17" t="s">
        <v>28</v>
      </c>
      <c r="AB17" s="17"/>
      <c r="AC17" s="17" t="s">
        <v>29</v>
      </c>
      <c r="AF17" s="12"/>
      <c r="AG17" s="23"/>
      <c r="AH17" s="8"/>
      <c r="AI17" s="11"/>
      <c r="AJ17" s="11"/>
      <c r="AK17" s="11"/>
      <c r="AL17" s="10"/>
      <c r="AM17" s="10"/>
      <c r="AN17" s="19"/>
      <c r="AO17" s="19"/>
      <c r="AP17" s="194">
        <v>0</v>
      </c>
      <c r="AQ17" s="108" t="s">
        <v>61</v>
      </c>
      <c r="AR17" s="109" t="s">
        <v>60</v>
      </c>
      <c r="AT17" s="3"/>
      <c r="AU17" s="3"/>
      <c r="AV17" s="213">
        <f>'зарплата за 1 минуту'!F37</f>
        <v>0.0565</v>
      </c>
      <c r="AX17" s="113" t="s">
        <v>68</v>
      </c>
      <c r="AY17" s="113"/>
      <c r="AZ17" s="6"/>
      <c r="BA17" s="19"/>
      <c r="BB17" s="113"/>
      <c r="BC17" s="113"/>
      <c r="BD17" s="6"/>
      <c r="BG17" s="129"/>
      <c r="BH17" s="7"/>
      <c r="BI17" s="17" t="s">
        <v>28</v>
      </c>
      <c r="BP17" s="17"/>
      <c r="BQ17" s="17" t="s">
        <v>29</v>
      </c>
      <c r="BT17" s="12"/>
    </row>
    <row r="18" spans="1:72" ht="12.75">
      <c r="A18" s="31"/>
      <c r="B18" s="2"/>
      <c r="E18" s="3"/>
      <c r="F18" s="3"/>
      <c r="G18" s="213">
        <f>'зарплата за 1 минуту'!C37</f>
        <v>0.0445</v>
      </c>
      <c r="I18" s="113" t="s">
        <v>69</v>
      </c>
      <c r="J18" s="113"/>
      <c r="K18" s="104"/>
      <c r="L18" s="19"/>
      <c r="M18" s="113"/>
      <c r="N18" s="113"/>
      <c r="O18" s="104"/>
      <c r="P18" s="19"/>
      <c r="Q18" s="19"/>
      <c r="R18" s="19"/>
      <c r="S18" s="129"/>
      <c r="T18" s="22"/>
      <c r="U18" s="19"/>
      <c r="V18" s="19"/>
      <c r="W18" s="19"/>
      <c r="X18" s="19"/>
      <c r="Y18" s="19"/>
      <c r="Z18" s="19"/>
      <c r="AA18" s="130"/>
      <c r="AB18" s="19"/>
      <c r="AC18" s="19"/>
      <c r="AD18" s="19"/>
      <c r="AE18" s="19"/>
      <c r="AF18" s="12"/>
      <c r="AG18" s="23"/>
      <c r="AH18" s="8"/>
      <c r="AI18" s="11"/>
      <c r="AJ18" s="11"/>
      <c r="AK18" s="11"/>
      <c r="AL18" s="10"/>
      <c r="AM18" s="10"/>
      <c r="AN18" s="19"/>
      <c r="AO18" s="19"/>
      <c r="AP18" s="31"/>
      <c r="AQ18" s="2"/>
      <c r="AT18" s="3"/>
      <c r="AU18" s="3"/>
      <c r="AV18" s="213">
        <f>'зарплата за 1 минуту'!C37</f>
        <v>0.0445</v>
      </c>
      <c r="AX18" s="113" t="s">
        <v>69</v>
      </c>
      <c r="AY18" s="113"/>
      <c r="AZ18" s="104"/>
      <c r="BA18" s="19"/>
      <c r="BB18" s="113"/>
      <c r="BC18" s="113"/>
      <c r="BD18" s="104"/>
      <c r="BE18" s="19"/>
      <c r="BF18" s="19"/>
      <c r="BG18" s="129"/>
      <c r="BH18" s="22"/>
      <c r="BI18" s="19"/>
      <c r="BJ18" s="19"/>
      <c r="BK18" s="19"/>
      <c r="BL18" s="19"/>
      <c r="BM18" s="19"/>
      <c r="BN18" s="19"/>
      <c r="BO18" s="130"/>
      <c r="BP18" s="19"/>
      <c r="BQ18" s="19"/>
      <c r="BR18" s="19"/>
      <c r="BS18" s="19"/>
      <c r="BT18" s="12"/>
    </row>
    <row r="19" spans="1:72" ht="12.75">
      <c r="A19" s="19" t="s">
        <v>25</v>
      </c>
      <c r="B19" s="2"/>
      <c r="C19" s="19"/>
      <c r="E19" s="3"/>
      <c r="F19" s="3"/>
      <c r="G19" s="213">
        <f>'зарплата за 1 минуту'!D37</f>
        <v>0.0482</v>
      </c>
      <c r="I19" s="113" t="s">
        <v>70</v>
      </c>
      <c r="J19" s="113"/>
      <c r="K19" s="6"/>
      <c r="L19" s="19"/>
      <c r="M19" s="113"/>
      <c r="N19" s="113"/>
      <c r="O19" s="6"/>
      <c r="P19" s="19"/>
      <c r="Q19" s="258" t="s">
        <v>852</v>
      </c>
      <c r="R19" s="258"/>
      <c r="S19" s="259">
        <v>0.1035</v>
      </c>
      <c r="T19" s="22"/>
      <c r="U19" s="19" t="s">
        <v>77</v>
      </c>
      <c r="V19" s="19"/>
      <c r="W19" s="19"/>
      <c r="X19" s="19"/>
      <c r="Y19" s="19"/>
      <c r="Z19" s="19"/>
      <c r="AA19" s="130">
        <v>0.34</v>
      </c>
      <c r="AB19" s="19"/>
      <c r="AC19" s="19" t="s">
        <v>124</v>
      </c>
      <c r="AD19" s="19">
        <v>5</v>
      </c>
      <c r="AE19" s="19"/>
      <c r="AF19" s="12"/>
      <c r="AG19" s="23"/>
      <c r="AH19" s="8"/>
      <c r="AI19" s="11"/>
      <c r="AJ19" s="11"/>
      <c r="AK19" s="11"/>
      <c r="AL19" s="10"/>
      <c r="AM19" s="10"/>
      <c r="AN19" s="19"/>
      <c r="AO19" s="19"/>
      <c r="AP19" s="19" t="s">
        <v>25</v>
      </c>
      <c r="AQ19" s="2"/>
      <c r="AR19" s="19"/>
      <c r="AT19" s="3"/>
      <c r="AU19" s="3"/>
      <c r="AV19" s="213">
        <f>'зарплата за 1 минуту'!D37</f>
        <v>0.0482</v>
      </c>
      <c r="AX19" s="113" t="s">
        <v>70</v>
      </c>
      <c r="AY19" s="113"/>
      <c r="AZ19" s="6"/>
      <c r="BA19" s="19"/>
      <c r="BB19" s="113"/>
      <c r="BC19" s="113"/>
      <c r="BD19" s="6"/>
      <c r="BE19" s="19"/>
      <c r="BF19" s="258" t="s">
        <v>862</v>
      </c>
      <c r="BG19" s="259">
        <v>0.1035</v>
      </c>
      <c r="BH19" s="22"/>
      <c r="BI19" s="19" t="s">
        <v>77</v>
      </c>
      <c r="BJ19" s="19"/>
      <c r="BK19" s="19"/>
      <c r="BL19" s="19"/>
      <c r="BM19" s="19"/>
      <c r="BN19" s="19"/>
      <c r="BO19" s="130">
        <v>0.34</v>
      </c>
      <c r="BP19" s="19"/>
      <c r="BQ19" s="19" t="s">
        <v>124</v>
      </c>
      <c r="BR19" s="19">
        <v>5</v>
      </c>
      <c r="BS19" s="19"/>
      <c r="BT19" s="12"/>
    </row>
    <row r="20" spans="1:72" ht="12.75">
      <c r="A20" s="31"/>
      <c r="B20" s="2"/>
      <c r="E20" s="3"/>
      <c r="F20" s="3"/>
      <c r="G20" s="213">
        <f>'зарплата за 1 минуту'!B37</f>
        <v>0.0442</v>
      </c>
      <c r="I20" s="21" t="s">
        <v>123</v>
      </c>
      <c r="J20" s="103"/>
      <c r="K20" s="103"/>
      <c r="L20" s="19"/>
      <c r="M20" s="21"/>
      <c r="N20" s="103"/>
      <c r="O20" s="103"/>
      <c r="P20" s="19"/>
      <c r="Q20" s="258" t="s">
        <v>853</v>
      </c>
      <c r="R20" s="260"/>
      <c r="S20" s="261">
        <v>1.0977</v>
      </c>
      <c r="T20" s="22"/>
      <c r="U20" s="19" t="s">
        <v>84</v>
      </c>
      <c r="V20" s="19"/>
      <c r="W20" s="19"/>
      <c r="X20" s="19"/>
      <c r="Y20" s="19"/>
      <c r="Z20" s="19"/>
      <c r="AA20" s="130">
        <v>0.015</v>
      </c>
      <c r="AB20" s="19"/>
      <c r="AC20" s="19"/>
      <c r="AD20" s="19"/>
      <c r="AE20" s="19"/>
      <c r="AF20" s="12"/>
      <c r="AG20" s="23"/>
      <c r="AH20" s="8"/>
      <c r="AI20" s="11"/>
      <c r="AJ20" s="11"/>
      <c r="AK20" s="11"/>
      <c r="AL20" s="10"/>
      <c r="AM20" s="10"/>
      <c r="AN20" s="19"/>
      <c r="AO20" s="19"/>
      <c r="AP20" s="31"/>
      <c r="AQ20" s="2"/>
      <c r="AT20" s="3"/>
      <c r="AU20" s="3"/>
      <c r="AV20" s="213">
        <f>'зарплата за 1 минуту'!B37</f>
        <v>0.0442</v>
      </c>
      <c r="AX20" s="21" t="s">
        <v>71</v>
      </c>
      <c r="AY20" s="103"/>
      <c r="AZ20" s="103"/>
      <c r="BA20" s="19"/>
      <c r="BB20" s="21"/>
      <c r="BC20" s="103"/>
      <c r="BD20" s="103"/>
      <c r="BE20" s="19"/>
      <c r="BF20" s="258" t="s">
        <v>853</v>
      </c>
      <c r="BG20" s="261">
        <v>1.0977</v>
      </c>
      <c r="BH20" s="22"/>
      <c r="BI20" s="19" t="s">
        <v>84</v>
      </c>
      <c r="BJ20" s="19"/>
      <c r="BK20" s="19"/>
      <c r="BL20" s="19"/>
      <c r="BM20" s="19"/>
      <c r="BN20" s="19"/>
      <c r="BO20" s="130">
        <v>0.015</v>
      </c>
      <c r="BP20" s="19"/>
      <c r="BQ20" s="19"/>
      <c r="BR20" s="19"/>
      <c r="BS20" s="19"/>
      <c r="BT20" s="12"/>
    </row>
    <row r="21" spans="1:72" ht="15">
      <c r="A21" s="1"/>
      <c r="B21" s="2"/>
      <c r="D21" s="32"/>
      <c r="E21" s="33"/>
      <c r="F21" s="33"/>
      <c r="G21" s="213">
        <f>'зарплата за 1 минуту'!E37</f>
        <v>0.0445</v>
      </c>
      <c r="I21" s="21" t="s">
        <v>72</v>
      </c>
      <c r="K21" s="6"/>
      <c r="L21" s="19"/>
      <c r="M21" s="21"/>
      <c r="O21" s="6"/>
      <c r="P21" s="19"/>
      <c r="Q21" s="19" t="s">
        <v>100</v>
      </c>
      <c r="R21" s="19"/>
      <c r="S21" s="262">
        <v>0.3</v>
      </c>
      <c r="T21" s="22"/>
      <c r="U21" s="189" t="s">
        <v>133</v>
      </c>
      <c r="V21" s="19"/>
      <c r="W21" s="19"/>
      <c r="X21" s="19"/>
      <c r="Y21" s="19"/>
      <c r="Z21" s="19"/>
      <c r="AA21" s="130">
        <v>0.0008</v>
      </c>
      <c r="AB21" s="19"/>
      <c r="AC21" s="19"/>
      <c r="AD21" s="19"/>
      <c r="AE21" s="19"/>
      <c r="AF21" s="12"/>
      <c r="AG21" s="23"/>
      <c r="AH21" s="137" t="s">
        <v>85</v>
      </c>
      <c r="AI21" s="138"/>
      <c r="AJ21" s="138"/>
      <c r="AK21" s="11"/>
      <c r="AL21" s="10"/>
      <c r="AM21" s="10"/>
      <c r="AN21" s="19"/>
      <c r="AO21" s="19"/>
      <c r="AP21" s="1"/>
      <c r="AQ21" s="2"/>
      <c r="AS21" s="32"/>
      <c r="AT21" s="33"/>
      <c r="AU21" s="33"/>
      <c r="AV21" s="213">
        <f>'зарплата за 1 минуту'!E37</f>
        <v>0.0445</v>
      </c>
      <c r="AX21" s="21" t="s">
        <v>72</v>
      </c>
      <c r="AZ21" s="6"/>
      <c r="BA21" s="19"/>
      <c r="BB21" s="21"/>
      <c r="BD21" s="6"/>
      <c r="BE21" s="19"/>
      <c r="BF21" s="19"/>
      <c r="BG21" s="129">
        <v>0.3</v>
      </c>
      <c r="BH21" s="22"/>
      <c r="BI21" s="19" t="s">
        <v>133</v>
      </c>
      <c r="BJ21" s="19"/>
      <c r="BK21" s="19"/>
      <c r="BL21" s="19"/>
      <c r="BM21" s="19"/>
      <c r="BN21" s="19"/>
      <c r="BO21" s="130">
        <v>0.0008</v>
      </c>
      <c r="BP21" s="19"/>
      <c r="BQ21" s="19"/>
      <c r="BR21" s="19"/>
      <c r="BS21" s="19"/>
      <c r="BT21" s="12"/>
    </row>
    <row r="22" spans="1:72" ht="14.25">
      <c r="A22" s="1"/>
      <c r="B22" s="2"/>
      <c r="C22" s="32"/>
      <c r="D22" s="32"/>
      <c r="E22" s="33"/>
      <c r="F22" s="33"/>
      <c r="G22" s="213">
        <f>'зарплата за 1 минуту'!I37</f>
        <v>0.0442</v>
      </c>
      <c r="H22" s="32"/>
      <c r="I22" s="21" t="s">
        <v>123</v>
      </c>
      <c r="J22" s="34"/>
      <c r="K22" s="34"/>
      <c r="O22" s="6"/>
      <c r="P22" s="19"/>
      <c r="Q22" s="19"/>
      <c r="R22" s="19"/>
      <c r="S22" s="129"/>
      <c r="T22" s="22"/>
      <c r="U22" s="19"/>
      <c r="V22" s="19"/>
      <c r="W22" s="19"/>
      <c r="X22" s="19"/>
      <c r="Y22" s="19"/>
      <c r="Z22" s="19"/>
      <c r="AA22" s="130"/>
      <c r="AB22" s="19"/>
      <c r="AC22" s="19"/>
      <c r="AD22" s="19"/>
      <c r="AE22" s="19"/>
      <c r="AF22" s="12"/>
      <c r="AG22" s="23"/>
      <c r="AH22" s="139" t="s">
        <v>3</v>
      </c>
      <c r="AI22" s="138"/>
      <c r="AJ22" s="138"/>
      <c r="AK22" s="11"/>
      <c r="AL22" s="10"/>
      <c r="AM22" s="10"/>
      <c r="AN22" s="19"/>
      <c r="AO22" s="19"/>
      <c r="AP22" s="1"/>
      <c r="AQ22" s="2"/>
      <c r="AR22" s="32"/>
      <c r="AS22" s="32"/>
      <c r="AT22" s="33"/>
      <c r="AU22" s="33"/>
      <c r="AV22" s="213">
        <f>'зарплата за 1 минуту'!I37</f>
        <v>0.0442</v>
      </c>
      <c r="AW22" s="32"/>
      <c r="AX22" s="21" t="s">
        <v>90</v>
      </c>
      <c r="AY22" s="34"/>
      <c r="AZ22" s="34"/>
      <c r="BD22" s="6"/>
      <c r="BE22" s="19"/>
      <c r="BF22" s="19"/>
      <c r="BG22" s="129"/>
      <c r="BH22" s="22"/>
      <c r="BI22" s="19"/>
      <c r="BJ22" s="19"/>
      <c r="BK22" s="19"/>
      <c r="BL22" s="19"/>
      <c r="BM22" s="19"/>
      <c r="BN22" s="19"/>
      <c r="BO22" s="130"/>
      <c r="BP22" s="19"/>
      <c r="BQ22" s="19"/>
      <c r="BR22" s="19"/>
      <c r="BS22" s="19"/>
      <c r="BT22" s="12"/>
    </row>
    <row r="23" spans="2:72" ht="15">
      <c r="B23" s="23"/>
      <c r="C23" s="32"/>
      <c r="D23" s="19"/>
      <c r="E23" s="20"/>
      <c r="F23" s="20"/>
      <c r="G23" s="19"/>
      <c r="H23" s="19"/>
      <c r="I23" s="18"/>
      <c r="J23" s="21"/>
      <c r="K23" s="21"/>
      <c r="L23" s="19"/>
      <c r="M23" s="12"/>
      <c r="N23" s="19"/>
      <c r="O23" s="26"/>
      <c r="P23" s="19"/>
      <c r="Q23" s="19"/>
      <c r="R23" s="19"/>
      <c r="S23" s="19"/>
      <c r="T23" s="22"/>
      <c r="U23" s="19"/>
      <c r="V23" s="19"/>
      <c r="W23" s="19"/>
      <c r="X23" s="188">
        <f>ROUND(X22/12,1)</f>
        <v>0</v>
      </c>
      <c r="Y23" s="19"/>
      <c r="Z23" s="19"/>
      <c r="AA23" s="19"/>
      <c r="AB23" s="19"/>
      <c r="AC23" s="19"/>
      <c r="AD23" s="19"/>
      <c r="AE23" s="19"/>
      <c r="AF23" s="12"/>
      <c r="AG23" s="23"/>
      <c r="AH23" s="137" t="s">
        <v>86</v>
      </c>
      <c r="AI23" s="138"/>
      <c r="AJ23" s="138"/>
      <c r="AK23" s="11"/>
      <c r="AL23" s="10"/>
      <c r="AM23" s="10"/>
      <c r="AN23" s="19"/>
      <c r="AO23" s="19"/>
      <c r="AQ23" s="23"/>
      <c r="AR23" s="32"/>
      <c r="AS23" s="19"/>
      <c r="AT23" s="20"/>
      <c r="AU23" s="20"/>
      <c r="AV23" s="19"/>
      <c r="AW23" s="19"/>
      <c r="AX23" s="18"/>
      <c r="AY23" s="21"/>
      <c r="AZ23" s="21"/>
      <c r="BA23" s="19"/>
      <c r="BB23" s="12"/>
      <c r="BC23" s="19"/>
      <c r="BD23" s="26"/>
      <c r="BE23" s="19"/>
      <c r="BF23" s="19"/>
      <c r="BG23" s="19"/>
      <c r="BH23" s="22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2"/>
    </row>
    <row r="24" spans="2:72" ht="15">
      <c r="B24" s="23"/>
      <c r="C24" s="19"/>
      <c r="D24" s="19"/>
      <c r="E24" s="20"/>
      <c r="F24" s="20"/>
      <c r="G24" s="19"/>
      <c r="H24" s="19"/>
      <c r="I24" s="18"/>
      <c r="J24" s="21"/>
      <c r="K24" s="21"/>
      <c r="L24" s="19"/>
      <c r="M24" s="12"/>
      <c r="N24" s="26"/>
      <c r="O24" s="26"/>
      <c r="P24" s="19"/>
      <c r="Q24" s="19"/>
      <c r="R24" s="19"/>
      <c r="S24" s="19"/>
      <c r="T24" s="22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2"/>
      <c r="AG24" s="23"/>
      <c r="AH24" s="137" t="s">
        <v>87</v>
      </c>
      <c r="AI24" s="138"/>
      <c r="AJ24" s="138"/>
      <c r="AK24" s="11"/>
      <c r="AL24" s="10"/>
      <c r="AM24" s="10"/>
      <c r="AN24" s="19"/>
      <c r="AO24" s="19"/>
      <c r="AQ24" s="23"/>
      <c r="AR24" s="19"/>
      <c r="AS24" s="19"/>
      <c r="AT24" s="20"/>
      <c r="AU24" s="20"/>
      <c r="AV24" s="19"/>
      <c r="AW24" s="19"/>
      <c r="AX24" s="18"/>
      <c r="AY24" s="21"/>
      <c r="AZ24" s="21"/>
      <c r="BA24" s="19"/>
      <c r="BB24" s="12"/>
      <c r="BC24" s="26"/>
      <c r="BD24" s="26"/>
      <c r="BE24" s="19"/>
      <c r="BF24" s="19"/>
      <c r="BG24" s="19"/>
      <c r="BH24" s="22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2"/>
    </row>
    <row r="25" spans="2:72" ht="13.5" thickBot="1">
      <c r="B25" s="23"/>
      <c r="C25" s="19"/>
      <c r="D25" s="19"/>
      <c r="E25" s="20"/>
      <c r="F25" s="20"/>
      <c r="G25" s="19"/>
      <c r="H25" s="19"/>
      <c r="I25" s="18"/>
      <c r="J25" s="21"/>
      <c r="K25" s="21"/>
      <c r="L25" s="19"/>
      <c r="M25" s="12"/>
      <c r="N25" s="26"/>
      <c r="O25" s="26"/>
      <c r="P25" s="19"/>
      <c r="Q25" s="19"/>
      <c r="R25" s="19"/>
      <c r="S25" s="19"/>
      <c r="T25" s="22"/>
      <c r="U25" s="19"/>
      <c r="V25" s="19"/>
      <c r="W25" s="19"/>
      <c r="X25" s="19"/>
      <c r="Y25" s="19"/>
      <c r="Z25" s="19">
        <f>Z37*0.53/AC37</f>
        <v>0.17369747899159665</v>
      </c>
      <c r="AA25" s="19"/>
      <c r="AB25" s="19">
        <f>(U37+V37)/AC37</f>
        <v>0.32941176470588235</v>
      </c>
      <c r="AC25" s="19"/>
      <c r="AD25" s="19"/>
      <c r="AE25" s="19"/>
      <c r="AF25" s="12"/>
      <c r="AG25" s="23"/>
      <c r="AH25" s="8"/>
      <c r="AI25" s="11"/>
      <c r="AJ25" s="11"/>
      <c r="AK25" s="11"/>
      <c r="AL25" s="10"/>
      <c r="AM25" s="10"/>
      <c r="AN25" s="19"/>
      <c r="AO25" s="19"/>
      <c r="AQ25" s="23"/>
      <c r="AR25" s="19"/>
      <c r="AS25" s="19"/>
      <c r="AT25" s="20"/>
      <c r="AU25" s="20"/>
      <c r="AV25" s="19"/>
      <c r="AW25" s="19"/>
      <c r="AX25" s="18"/>
      <c r="AY25" s="21"/>
      <c r="AZ25" s="21"/>
      <c r="BA25" s="19"/>
      <c r="BB25" s="12"/>
      <c r="BC25" s="26"/>
      <c r="BD25" s="26"/>
      <c r="BE25" s="19"/>
      <c r="BF25" s="19"/>
      <c r="BG25" s="19"/>
      <c r="BH25" s="22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2"/>
    </row>
    <row r="26" spans="1:72" ht="22.5">
      <c r="A26" s="36" t="s">
        <v>31</v>
      </c>
      <c r="B26" s="37"/>
      <c r="C26" s="38"/>
      <c r="D26" s="40" t="s">
        <v>56</v>
      </c>
      <c r="E26" s="41"/>
      <c r="F26" s="41"/>
      <c r="G26" s="42"/>
      <c r="H26" s="42"/>
      <c r="I26" s="43"/>
      <c r="J26" s="42" t="s">
        <v>2</v>
      </c>
      <c r="K26" s="42"/>
      <c r="L26" s="42"/>
      <c r="M26" s="42"/>
      <c r="N26" s="43"/>
      <c r="O26" s="44"/>
      <c r="P26" s="39" t="s">
        <v>31</v>
      </c>
      <c r="Q26" s="38"/>
      <c r="R26" s="39"/>
      <c r="S26" s="39"/>
      <c r="T26" s="45" t="s">
        <v>32</v>
      </c>
      <c r="U26" s="46" t="s">
        <v>33</v>
      </c>
      <c r="V26" s="46" t="s">
        <v>33</v>
      </c>
      <c r="W26" s="46" t="s">
        <v>79</v>
      </c>
      <c r="X26" s="46" t="s">
        <v>79</v>
      </c>
      <c r="Y26" s="46" t="s">
        <v>79</v>
      </c>
      <c r="Z26" s="46" t="s">
        <v>34</v>
      </c>
      <c r="AA26" s="46" t="s">
        <v>35</v>
      </c>
      <c r="AB26" s="46" t="s">
        <v>9</v>
      </c>
      <c r="AC26" s="46" t="s">
        <v>10</v>
      </c>
      <c r="AD26" s="46" t="s">
        <v>124</v>
      </c>
      <c r="AE26" s="46" t="s">
        <v>11</v>
      </c>
      <c r="AF26" s="47"/>
      <c r="AG26" s="142"/>
      <c r="AH26" s="143"/>
      <c r="AI26" s="144"/>
      <c r="AJ26" s="145" t="s">
        <v>32</v>
      </c>
      <c r="AK26" s="457" t="s">
        <v>5</v>
      </c>
      <c r="AL26" s="458"/>
      <c r="AM26" s="457" t="s">
        <v>7</v>
      </c>
      <c r="AN26" s="459"/>
      <c r="AO26" s="19"/>
      <c r="AP26" s="36" t="s">
        <v>31</v>
      </c>
      <c r="AQ26" s="37"/>
      <c r="AR26" s="38"/>
      <c r="AS26" s="40" t="s">
        <v>56</v>
      </c>
      <c r="AT26" s="41"/>
      <c r="AU26" s="41"/>
      <c r="AV26" s="42"/>
      <c r="AW26" s="42"/>
      <c r="AX26" s="43"/>
      <c r="AY26" s="42" t="s">
        <v>2</v>
      </c>
      <c r="AZ26" s="42"/>
      <c r="BA26" s="42"/>
      <c r="BB26" s="42"/>
      <c r="BC26" s="43"/>
      <c r="BD26" s="44"/>
      <c r="BE26" s="39" t="s">
        <v>31</v>
      </c>
      <c r="BF26" s="39"/>
      <c r="BG26" s="39"/>
      <c r="BH26" s="45" t="s">
        <v>32</v>
      </c>
      <c r="BI26" s="46" t="s">
        <v>33</v>
      </c>
      <c r="BJ26" s="46" t="s">
        <v>33</v>
      </c>
      <c r="BK26" s="46" t="s">
        <v>79</v>
      </c>
      <c r="BL26" s="46" t="s">
        <v>79</v>
      </c>
      <c r="BM26" s="46" t="s">
        <v>79</v>
      </c>
      <c r="BN26" s="46" t="s">
        <v>34</v>
      </c>
      <c r="BO26" s="46" t="s">
        <v>35</v>
      </c>
      <c r="BP26" s="46" t="s">
        <v>9</v>
      </c>
      <c r="BQ26" s="46" t="s">
        <v>10</v>
      </c>
      <c r="BR26" s="46" t="s">
        <v>124</v>
      </c>
      <c r="BS26" s="46" t="s">
        <v>11</v>
      </c>
      <c r="BT26" s="47"/>
    </row>
    <row r="27" spans="1:72" ht="22.5">
      <c r="A27" s="48"/>
      <c r="B27" s="49"/>
      <c r="C27" s="50"/>
      <c r="D27" s="52" t="s">
        <v>12</v>
      </c>
      <c r="E27" s="52" t="s">
        <v>13</v>
      </c>
      <c r="F27" s="52" t="s">
        <v>58</v>
      </c>
      <c r="G27" s="52" t="s">
        <v>14</v>
      </c>
      <c r="H27" s="52"/>
      <c r="I27" s="52" t="s">
        <v>10</v>
      </c>
      <c r="J27" s="52" t="s">
        <v>13</v>
      </c>
      <c r="K27" s="52" t="s">
        <v>58</v>
      </c>
      <c r="L27" s="52" t="s">
        <v>14</v>
      </c>
      <c r="M27" s="52"/>
      <c r="N27" s="52" t="s">
        <v>10</v>
      </c>
      <c r="O27" s="53" t="s">
        <v>16</v>
      </c>
      <c r="P27" s="48"/>
      <c r="Q27" s="49"/>
      <c r="R27" s="51"/>
      <c r="S27" s="51"/>
      <c r="T27" s="54" t="s">
        <v>17</v>
      </c>
      <c r="U27" s="55" t="s">
        <v>18</v>
      </c>
      <c r="V27" s="55" t="s">
        <v>19</v>
      </c>
      <c r="W27" s="55" t="s">
        <v>80</v>
      </c>
      <c r="X27" s="55" t="s">
        <v>81</v>
      </c>
      <c r="Y27" s="55" t="s">
        <v>82</v>
      </c>
      <c r="Z27" s="55" t="s">
        <v>20</v>
      </c>
      <c r="AA27" s="55" t="s">
        <v>21</v>
      </c>
      <c r="AB27" s="55" t="s">
        <v>22</v>
      </c>
      <c r="AC27" s="55"/>
      <c r="AD27" s="55"/>
      <c r="AE27" s="55" t="s">
        <v>23</v>
      </c>
      <c r="AF27" s="56"/>
      <c r="AG27" s="69"/>
      <c r="AH27" s="146" t="s">
        <v>45</v>
      </c>
      <c r="AI27" s="140"/>
      <c r="AJ27" s="141" t="s">
        <v>17</v>
      </c>
      <c r="AK27" s="450" t="s">
        <v>6</v>
      </c>
      <c r="AL27" s="454"/>
      <c r="AM27" s="450" t="s">
        <v>8</v>
      </c>
      <c r="AN27" s="451"/>
      <c r="AO27" s="19"/>
      <c r="AP27" s="48"/>
      <c r="AQ27" s="49"/>
      <c r="AR27" s="50"/>
      <c r="AS27" s="52" t="s">
        <v>12</v>
      </c>
      <c r="AT27" s="52" t="s">
        <v>13</v>
      </c>
      <c r="AU27" s="52" t="s">
        <v>58</v>
      </c>
      <c r="AV27" s="52" t="s">
        <v>14</v>
      </c>
      <c r="AW27" s="52" t="s">
        <v>15</v>
      </c>
      <c r="AX27" s="52" t="s">
        <v>10</v>
      </c>
      <c r="AY27" s="52" t="s">
        <v>13</v>
      </c>
      <c r="AZ27" s="52" t="s">
        <v>58</v>
      </c>
      <c r="BA27" s="52" t="s">
        <v>14</v>
      </c>
      <c r="BB27" s="52" t="s">
        <v>15</v>
      </c>
      <c r="BC27" s="52" t="s">
        <v>10</v>
      </c>
      <c r="BD27" s="53" t="s">
        <v>16</v>
      </c>
      <c r="BE27" s="48"/>
      <c r="BF27" s="51"/>
      <c r="BG27" s="51"/>
      <c r="BH27" s="54" t="s">
        <v>17</v>
      </c>
      <c r="BI27" s="55" t="s">
        <v>18</v>
      </c>
      <c r="BJ27" s="55" t="s">
        <v>19</v>
      </c>
      <c r="BK27" s="55" t="s">
        <v>80</v>
      </c>
      <c r="BL27" s="55" t="s">
        <v>81</v>
      </c>
      <c r="BM27" s="55" t="s">
        <v>82</v>
      </c>
      <c r="BN27" s="55" t="s">
        <v>20</v>
      </c>
      <c r="BO27" s="55" t="s">
        <v>21</v>
      </c>
      <c r="BP27" s="55" t="s">
        <v>22</v>
      </c>
      <c r="BQ27" s="55"/>
      <c r="BR27" s="55"/>
      <c r="BS27" s="55" t="s">
        <v>23</v>
      </c>
      <c r="BT27" s="56"/>
    </row>
    <row r="28" spans="1:72" ht="12.75">
      <c r="A28" s="57"/>
      <c r="B28" s="58"/>
      <c r="C28" s="59"/>
      <c r="D28" s="61" t="s">
        <v>46</v>
      </c>
      <c r="E28" s="61" t="s">
        <v>47</v>
      </c>
      <c r="F28" s="61" t="s">
        <v>57</v>
      </c>
      <c r="G28" s="61" t="s">
        <v>48</v>
      </c>
      <c r="H28" s="62"/>
      <c r="I28" s="63"/>
      <c r="J28" s="61" t="s">
        <v>47</v>
      </c>
      <c r="K28" s="61" t="s">
        <v>57</v>
      </c>
      <c r="L28" s="61" t="s">
        <v>48</v>
      </c>
      <c r="M28" s="62"/>
      <c r="N28" s="62"/>
      <c r="O28" s="64"/>
      <c r="P28" s="57"/>
      <c r="Q28" s="58"/>
      <c r="R28" s="60"/>
      <c r="S28" s="60"/>
      <c r="T28" s="65"/>
      <c r="U28" s="66"/>
      <c r="V28" s="66" t="s">
        <v>49</v>
      </c>
      <c r="W28" s="66"/>
      <c r="X28" s="66"/>
      <c r="Y28" s="66" t="s">
        <v>83</v>
      </c>
      <c r="Z28" s="66" t="s">
        <v>50</v>
      </c>
      <c r="AA28" s="66" t="s">
        <v>51</v>
      </c>
      <c r="AB28" s="66" t="s">
        <v>52</v>
      </c>
      <c r="AC28" s="66"/>
      <c r="AD28" s="66"/>
      <c r="AE28" s="66"/>
      <c r="AF28" s="67"/>
      <c r="AG28" s="69"/>
      <c r="AH28" s="146"/>
      <c r="AI28" s="140"/>
      <c r="AJ28" s="141"/>
      <c r="AK28" s="450" t="s">
        <v>4</v>
      </c>
      <c r="AL28" s="454"/>
      <c r="AM28" s="450" t="s">
        <v>4</v>
      </c>
      <c r="AN28" s="451"/>
      <c r="AO28" s="19"/>
      <c r="AP28" s="57"/>
      <c r="AQ28" s="58"/>
      <c r="AR28" s="59"/>
      <c r="AS28" s="61" t="s">
        <v>46</v>
      </c>
      <c r="AT28" s="61" t="s">
        <v>47</v>
      </c>
      <c r="AU28" s="61" t="s">
        <v>57</v>
      </c>
      <c r="AV28" s="61" t="s">
        <v>48</v>
      </c>
      <c r="AW28" s="62" t="s">
        <v>42</v>
      </c>
      <c r="AX28" s="63"/>
      <c r="AY28" s="61" t="s">
        <v>47</v>
      </c>
      <c r="AZ28" s="61" t="s">
        <v>57</v>
      </c>
      <c r="BA28" s="61" t="s">
        <v>48</v>
      </c>
      <c r="BB28" s="62" t="s">
        <v>42</v>
      </c>
      <c r="BC28" s="62"/>
      <c r="BD28" s="64"/>
      <c r="BE28" s="57"/>
      <c r="BF28" s="60"/>
      <c r="BG28" s="60"/>
      <c r="BH28" s="65"/>
      <c r="BI28" s="66"/>
      <c r="BJ28" s="66" t="s">
        <v>49</v>
      </c>
      <c r="BK28" s="66"/>
      <c r="BL28" s="66"/>
      <c r="BM28" s="66" t="s">
        <v>83</v>
      </c>
      <c r="BN28" s="66" t="s">
        <v>50</v>
      </c>
      <c r="BO28" s="66" t="s">
        <v>51</v>
      </c>
      <c r="BP28" s="66" t="s">
        <v>52</v>
      </c>
      <c r="BQ28" s="66"/>
      <c r="BR28" s="66"/>
      <c r="BS28" s="66"/>
      <c r="BT28" s="67"/>
    </row>
    <row r="29" spans="1:72" ht="13.5" thickBot="1">
      <c r="A29" s="68"/>
      <c r="B29" s="69"/>
      <c r="C29" s="30"/>
      <c r="D29" s="30"/>
      <c r="E29" s="70"/>
      <c r="F29" s="70"/>
      <c r="G29" s="30"/>
      <c r="H29" s="71"/>
      <c r="I29" s="72"/>
      <c r="J29" s="73"/>
      <c r="K29" s="73"/>
      <c r="L29" s="30"/>
      <c r="M29" s="71"/>
      <c r="N29" s="71"/>
      <c r="O29" s="25"/>
      <c r="P29" s="68"/>
      <c r="Q29" s="69"/>
      <c r="R29" s="30"/>
      <c r="S29" s="30"/>
      <c r="T29" s="74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68"/>
      <c r="AG29" s="69"/>
      <c r="AH29" s="147"/>
      <c r="AI29" s="148"/>
      <c r="AJ29" s="149"/>
      <c r="AK29" s="452" t="s">
        <v>38</v>
      </c>
      <c r="AL29" s="453"/>
      <c r="AM29" s="452" t="s">
        <v>38</v>
      </c>
      <c r="AN29" s="456"/>
      <c r="AO29" s="19"/>
      <c r="AP29" s="68"/>
      <c r="AQ29" s="69"/>
      <c r="AR29" s="30"/>
      <c r="AS29" s="30"/>
      <c r="AT29" s="70"/>
      <c r="AU29" s="70"/>
      <c r="AV29" s="30"/>
      <c r="AW29" s="71"/>
      <c r="AX29" s="72"/>
      <c r="AY29" s="73"/>
      <c r="AZ29" s="73"/>
      <c r="BA29" s="30"/>
      <c r="BB29" s="71"/>
      <c r="BC29" s="71"/>
      <c r="BD29" s="25"/>
      <c r="BE29" s="68"/>
      <c r="BF29" s="30"/>
      <c r="BG29" s="30"/>
      <c r="BH29" s="74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68"/>
    </row>
    <row r="30" spans="1:72" ht="12.75">
      <c r="A30" s="9"/>
      <c r="B30" s="27"/>
      <c r="C30" s="32"/>
      <c r="D30" s="19"/>
      <c r="E30" s="20"/>
      <c r="F30" s="20"/>
      <c r="G30" s="19"/>
      <c r="H30" s="19"/>
      <c r="I30" s="18"/>
      <c r="J30" s="21"/>
      <c r="K30" s="21"/>
      <c r="L30" s="19"/>
      <c r="M30" s="19"/>
      <c r="N30" s="19"/>
      <c r="O30" s="26"/>
      <c r="P30" s="9"/>
      <c r="Q30" s="27"/>
      <c r="R30" s="32"/>
      <c r="S30" s="19"/>
      <c r="T30" s="74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9"/>
      <c r="AG30" s="27"/>
      <c r="AH30" s="75"/>
      <c r="AI30" s="11"/>
      <c r="AJ30" s="11"/>
      <c r="AK30" s="11"/>
      <c r="AL30" s="10"/>
      <c r="AM30" s="10"/>
      <c r="AN30" s="19"/>
      <c r="AO30" s="19"/>
      <c r="AP30" s="9"/>
      <c r="AQ30" s="27"/>
      <c r="AR30" s="32"/>
      <c r="AS30" s="19"/>
      <c r="AT30" s="20"/>
      <c r="AU30" s="20"/>
      <c r="AV30" s="19"/>
      <c r="AW30" s="19"/>
      <c r="AX30" s="18"/>
      <c r="AY30" s="21"/>
      <c r="AZ30" s="21"/>
      <c r="BA30" s="19"/>
      <c r="BB30" s="19"/>
      <c r="BC30" s="19"/>
      <c r="BD30" s="26"/>
      <c r="BE30" s="9"/>
      <c r="BF30" s="32"/>
      <c r="BG30" s="19"/>
      <c r="BH30" s="74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9"/>
    </row>
    <row r="31" spans="1:72" ht="8.25" customHeight="1">
      <c r="A31" s="9"/>
      <c r="B31" s="27"/>
      <c r="C31" s="8"/>
      <c r="D31" s="19"/>
      <c r="E31" s="20"/>
      <c r="F31" s="20"/>
      <c r="G31" s="19"/>
      <c r="H31" s="19"/>
      <c r="I31" s="18"/>
      <c r="J31" s="21"/>
      <c r="K31" s="21"/>
      <c r="L31" s="19"/>
      <c r="M31" s="19"/>
      <c r="N31" s="19"/>
      <c r="O31" s="26"/>
      <c r="P31" s="9"/>
      <c r="Q31" s="27"/>
      <c r="R31" s="8"/>
      <c r="S31" s="19"/>
      <c r="T31" s="22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9"/>
      <c r="AG31" s="27"/>
      <c r="AH31" s="75"/>
      <c r="AI31" s="11"/>
      <c r="AJ31" s="11"/>
      <c r="AK31" s="11"/>
      <c r="AL31" s="10"/>
      <c r="AM31" s="10"/>
      <c r="AN31" s="19"/>
      <c r="AO31" s="19"/>
      <c r="AP31" s="9"/>
      <c r="AQ31" s="27"/>
      <c r="AR31" s="8"/>
      <c r="AS31" s="19"/>
      <c r="AT31" s="20"/>
      <c r="AU31" s="20"/>
      <c r="AV31" s="19"/>
      <c r="AW31" s="19"/>
      <c r="AX31" s="18"/>
      <c r="AY31" s="21"/>
      <c r="AZ31" s="21"/>
      <c r="BA31" s="19"/>
      <c r="BB31" s="19"/>
      <c r="BC31" s="19"/>
      <c r="BD31" s="26"/>
      <c r="BE31" s="9"/>
      <c r="BF31" s="8"/>
      <c r="BG31" s="19"/>
      <c r="BH31" s="22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9"/>
    </row>
    <row r="32" spans="1:72" ht="12.75">
      <c r="A32" s="24"/>
      <c r="B32" s="35"/>
      <c r="C32" s="77"/>
      <c r="D32" s="78"/>
      <c r="E32" s="29"/>
      <c r="F32" s="29"/>
      <c r="G32" s="79"/>
      <c r="H32" s="79"/>
      <c r="I32" s="80"/>
      <c r="J32" s="29"/>
      <c r="K32" s="29"/>
      <c r="L32" s="79"/>
      <c r="M32" s="79"/>
      <c r="N32" s="80"/>
      <c r="O32" s="81"/>
      <c r="P32" s="24"/>
      <c r="Q32" s="35"/>
      <c r="R32" s="75"/>
      <c r="S32" s="76"/>
      <c r="T32" s="22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81"/>
      <c r="AF32" s="24"/>
      <c r="AG32" s="35"/>
      <c r="AH32" s="75"/>
      <c r="AI32" s="11"/>
      <c r="AJ32" s="78"/>
      <c r="AK32" s="78"/>
      <c r="AL32" s="81"/>
      <c r="AM32" s="81"/>
      <c r="AN32" s="81"/>
      <c r="AO32" s="19"/>
      <c r="AP32" s="24"/>
      <c r="AQ32" s="35"/>
      <c r="AR32" s="77"/>
      <c r="AS32" s="78"/>
      <c r="AT32" s="29"/>
      <c r="AU32" s="29"/>
      <c r="AV32" s="79"/>
      <c r="AW32" s="79"/>
      <c r="AX32" s="80"/>
      <c r="AY32" s="29"/>
      <c r="AZ32" s="29"/>
      <c r="BA32" s="79"/>
      <c r="BB32" s="79"/>
      <c r="BC32" s="80"/>
      <c r="BD32" s="81"/>
      <c r="BE32" s="24"/>
      <c r="BF32" s="75"/>
      <c r="BG32" s="76"/>
      <c r="BH32" s="22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81"/>
      <c r="BT32" s="24"/>
    </row>
    <row r="33" spans="1:72" ht="12.75">
      <c r="A33" s="24"/>
      <c r="B33" s="35"/>
      <c r="C33" s="75"/>
      <c r="D33" s="78"/>
      <c r="E33" s="29"/>
      <c r="F33" s="29"/>
      <c r="G33" s="79"/>
      <c r="H33" s="79"/>
      <c r="I33" s="80"/>
      <c r="J33" s="29"/>
      <c r="K33" s="29"/>
      <c r="L33" s="79"/>
      <c r="M33" s="79"/>
      <c r="N33" s="80"/>
      <c r="O33" s="81"/>
      <c r="P33" s="24"/>
      <c r="Q33" s="35"/>
      <c r="R33" s="75"/>
      <c r="S33" s="76"/>
      <c r="T33" s="22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81"/>
      <c r="AF33" s="24"/>
      <c r="AG33" s="35"/>
      <c r="AH33" s="75"/>
      <c r="AI33" s="11"/>
      <c r="AJ33" s="78"/>
      <c r="AK33" s="78"/>
      <c r="AL33" s="81"/>
      <c r="AM33" s="81"/>
      <c r="AN33" s="81"/>
      <c r="AO33" s="19"/>
      <c r="AP33" s="24"/>
      <c r="AQ33" s="35"/>
      <c r="AR33" s="75"/>
      <c r="AS33" s="78"/>
      <c r="AT33" s="29"/>
      <c r="AU33" s="29"/>
      <c r="AV33" s="79"/>
      <c r="AW33" s="79"/>
      <c r="AX33" s="80"/>
      <c r="AY33" s="29"/>
      <c r="AZ33" s="29"/>
      <c r="BA33" s="79"/>
      <c r="BB33" s="79"/>
      <c r="BC33" s="80"/>
      <c r="BD33" s="81"/>
      <c r="BE33" s="24"/>
      <c r="BF33" s="75"/>
      <c r="BG33" s="76"/>
      <c r="BH33" s="22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81"/>
      <c r="BT33" s="24"/>
    </row>
    <row r="34" spans="1:72" ht="12.75" customHeight="1">
      <c r="A34" s="24"/>
      <c r="B34" s="35"/>
      <c r="C34" s="75"/>
      <c r="D34" s="78"/>
      <c r="E34" s="29"/>
      <c r="F34" s="29"/>
      <c r="G34" s="79"/>
      <c r="H34" s="79"/>
      <c r="I34" s="80"/>
      <c r="J34" s="29"/>
      <c r="K34" s="29"/>
      <c r="L34" s="79"/>
      <c r="M34" s="79"/>
      <c r="N34" s="80"/>
      <c r="O34" s="81"/>
      <c r="P34" s="24"/>
      <c r="Q34" s="35"/>
      <c r="R34" s="75"/>
      <c r="S34" s="76"/>
      <c r="T34" s="22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81"/>
      <c r="AF34" s="24"/>
      <c r="AG34" s="35"/>
      <c r="AH34" s="75"/>
      <c r="AI34" s="11"/>
      <c r="AJ34" s="78"/>
      <c r="AK34" s="78"/>
      <c r="AL34" s="81"/>
      <c r="AM34" s="81"/>
      <c r="AN34" s="81"/>
      <c r="AO34" s="19"/>
      <c r="AP34" s="24"/>
      <c r="AQ34" s="35"/>
      <c r="AR34" s="75"/>
      <c r="AS34" s="78"/>
      <c r="AT34" s="29"/>
      <c r="AU34" s="29"/>
      <c r="AV34" s="79"/>
      <c r="AW34" s="79"/>
      <c r="AX34" s="80"/>
      <c r="AY34" s="29"/>
      <c r="AZ34" s="29"/>
      <c r="BA34" s="79"/>
      <c r="BB34" s="79"/>
      <c r="BC34" s="80"/>
      <c r="BD34" s="81"/>
      <c r="BE34" s="24"/>
      <c r="BF34" s="75"/>
      <c r="BG34" s="76"/>
      <c r="BH34" s="22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81"/>
      <c r="BT34" s="24"/>
    </row>
    <row r="35" spans="1:72" ht="25.5" customHeight="1">
      <c r="A35" s="24"/>
      <c r="B35" s="233" t="s">
        <v>137</v>
      </c>
      <c r="C35" s="234" t="s">
        <v>138</v>
      </c>
      <c r="D35" s="78"/>
      <c r="E35" s="29"/>
      <c r="F35" s="29"/>
      <c r="G35" s="79"/>
      <c r="H35" s="79"/>
      <c r="I35" s="80"/>
      <c r="J35" s="29"/>
      <c r="K35" s="29"/>
      <c r="L35" s="79"/>
      <c r="M35" s="79"/>
      <c r="N35" s="80"/>
      <c r="O35" s="81"/>
      <c r="P35" s="233" t="s">
        <v>137</v>
      </c>
      <c r="Q35" s="455" t="s">
        <v>138</v>
      </c>
      <c r="R35" s="455"/>
      <c r="S35" s="76"/>
      <c r="T35" s="22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81"/>
      <c r="AF35" s="24"/>
      <c r="AG35" s="233" t="s">
        <v>137</v>
      </c>
      <c r="AH35" s="455" t="s">
        <v>138</v>
      </c>
      <c r="AI35" s="455"/>
      <c r="AJ35" s="78"/>
      <c r="AK35" s="78"/>
      <c r="AL35" s="81"/>
      <c r="AM35" s="81"/>
      <c r="AN35" s="81"/>
      <c r="AO35" s="19"/>
      <c r="AP35" s="24"/>
      <c r="AQ35" s="233" t="s">
        <v>137</v>
      </c>
      <c r="AR35" s="455" t="s">
        <v>138</v>
      </c>
      <c r="AS35" s="455"/>
      <c r="AT35" s="29"/>
      <c r="AU35" s="29"/>
      <c r="AV35" s="79"/>
      <c r="AW35" s="79"/>
      <c r="AX35" s="80"/>
      <c r="AY35" s="29"/>
      <c r="AZ35" s="29"/>
      <c r="BA35" s="79"/>
      <c r="BB35" s="79"/>
      <c r="BC35" s="80"/>
      <c r="BD35" s="81"/>
      <c r="BE35" s="233" t="s">
        <v>137</v>
      </c>
      <c r="BF35" s="455" t="s">
        <v>138</v>
      </c>
      <c r="BG35" s="455"/>
      <c r="BH35" s="22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81"/>
      <c r="BT35" s="24"/>
    </row>
    <row r="36" spans="1:72" ht="20.25" customHeight="1">
      <c r="A36" s="24"/>
      <c r="B36" s="249"/>
      <c r="C36" s="241"/>
      <c r="D36" s="78"/>
      <c r="E36" s="29"/>
      <c r="F36" s="29"/>
      <c r="G36" s="79"/>
      <c r="H36" s="79"/>
      <c r="I36" s="80"/>
      <c r="J36" s="29"/>
      <c r="K36" s="29"/>
      <c r="L36" s="79"/>
      <c r="M36" s="79"/>
      <c r="N36" s="80"/>
      <c r="O36" s="81"/>
      <c r="P36" s="249"/>
      <c r="Q36" s="241"/>
      <c r="R36" s="75"/>
      <c r="S36" s="76"/>
      <c r="T36" s="22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81"/>
      <c r="AF36" s="24"/>
      <c r="AG36" s="249"/>
      <c r="AH36" s="241"/>
      <c r="AI36" s="75"/>
      <c r="AJ36" s="78"/>
      <c r="AK36" s="78"/>
      <c r="AL36" s="81"/>
      <c r="AM36" s="81"/>
      <c r="AN36" s="81"/>
      <c r="AO36" s="19"/>
      <c r="AP36" s="24"/>
      <c r="AQ36" s="249"/>
      <c r="AR36" s="241"/>
      <c r="AS36" s="75"/>
      <c r="AT36" s="29"/>
      <c r="AU36" s="29"/>
      <c r="AV36" s="79"/>
      <c r="AW36" s="79"/>
      <c r="AX36" s="80"/>
      <c r="AY36" s="29"/>
      <c r="AZ36" s="29"/>
      <c r="BA36" s="79"/>
      <c r="BB36" s="79"/>
      <c r="BC36" s="80"/>
      <c r="BD36" s="81"/>
      <c r="BE36" s="249"/>
      <c r="BF36" s="241"/>
      <c r="BG36" s="75"/>
      <c r="BH36" s="22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81"/>
      <c r="BT36" s="24"/>
    </row>
    <row r="37" spans="1:72" ht="28.5" customHeight="1">
      <c r="A37" s="84"/>
      <c r="B37" s="235" t="s">
        <v>139</v>
      </c>
      <c r="C37" s="236" t="s">
        <v>140</v>
      </c>
      <c r="D37" s="78" t="s">
        <v>53</v>
      </c>
      <c r="E37" s="307">
        <v>0</v>
      </c>
      <c r="F37" s="214">
        <f>$G$17</f>
        <v>0.0565</v>
      </c>
      <c r="G37" s="197">
        <f>ROUND(E37*F37,2)</f>
        <v>0</v>
      </c>
      <c r="H37" s="197">
        <f>ROUND(G37*($A$16+$A$17)/100,2)</f>
        <v>0</v>
      </c>
      <c r="I37" s="198">
        <f>SUM(G37:H37)</f>
        <v>0</v>
      </c>
      <c r="J37" s="257">
        <v>40</v>
      </c>
      <c r="K37" s="214">
        <f>$G$21</f>
        <v>0.0445</v>
      </c>
      <c r="L37" s="197">
        <f>ROUND(J37*K37,2)</f>
        <v>1.78</v>
      </c>
      <c r="M37" s="197">
        <f>ROUND(L37*($A$16+$A$17)/100,2)</f>
        <v>0</v>
      </c>
      <c r="N37" s="198">
        <f>SUM(L37:M37)</f>
        <v>1.78</v>
      </c>
      <c r="O37" s="199">
        <f>SUM(I37,N37)</f>
        <v>1.78</v>
      </c>
      <c r="P37" s="235" t="s">
        <v>139</v>
      </c>
      <c r="Q37" s="446" t="s">
        <v>140</v>
      </c>
      <c r="R37" s="446"/>
      <c r="S37" s="76"/>
      <c r="T37" s="22" t="s">
        <v>704</v>
      </c>
      <c r="U37" s="200">
        <f aca="true" t="shared" si="0" ref="U37:U43">O37</f>
        <v>1.78</v>
      </c>
      <c r="V37" s="200">
        <f aca="true" t="shared" si="1" ref="V37:V43">ROUND(U37*$S$19,2)</f>
        <v>0.18</v>
      </c>
      <c r="W37" s="197">
        <f aca="true" t="shared" si="2" ref="W37:W43">ROUND(SUM(U37:V37)*$AA$19,2)</f>
        <v>0.67</v>
      </c>
      <c r="X37" s="197">
        <f aca="true" t="shared" si="3" ref="X37:X43">ROUND(SUM(U37:V37)*$AA$21,2)</f>
        <v>0</v>
      </c>
      <c r="Y37" s="197"/>
      <c r="Z37" s="201">
        <f aca="true" t="shared" si="4" ref="Z37:Z43">ROUND(U37*$S$20,2)</f>
        <v>1.95</v>
      </c>
      <c r="AA37" s="202">
        <f>SUM(U37:Z37)</f>
        <v>4.58</v>
      </c>
      <c r="AB37" s="203">
        <f>ROUND(AA37*$S$21,2)</f>
        <v>1.37</v>
      </c>
      <c r="AC37" s="204">
        <f aca="true" t="shared" si="5" ref="AC37:AC43">SUM(AA37:AB37)</f>
        <v>5.95</v>
      </c>
      <c r="AD37" s="205">
        <f aca="true" t="shared" si="6" ref="AD37:AD43">ROUND(AC37*$AD$19/95,2)</f>
        <v>0.31</v>
      </c>
      <c r="AE37" s="206">
        <f aca="true" t="shared" si="7" ref="AE37:AE43">SUM(AC37:AD37)</f>
        <v>6.26</v>
      </c>
      <c r="AF37" s="84"/>
      <c r="AG37" s="235" t="s">
        <v>139</v>
      </c>
      <c r="AH37" s="446" t="s">
        <v>140</v>
      </c>
      <c r="AI37" s="446"/>
      <c r="AJ37" s="78" t="s">
        <v>41</v>
      </c>
      <c r="AK37" s="78"/>
      <c r="AL37" s="207">
        <f>AE37</f>
        <v>6.26</v>
      </c>
      <c r="AM37" s="207"/>
      <c r="AN37" s="207">
        <f>BS37</f>
        <v>0</v>
      </c>
      <c r="AO37" s="19"/>
      <c r="AP37" s="84"/>
      <c r="AQ37" s="235" t="s">
        <v>139</v>
      </c>
      <c r="AR37" s="446" t="s">
        <v>140</v>
      </c>
      <c r="AS37" s="446"/>
      <c r="AT37" s="190">
        <v>0</v>
      </c>
      <c r="AU37" s="214">
        <f>$AV$17</f>
        <v>0.0565</v>
      </c>
      <c r="AV37" s="269">
        <f>ROUND(AT37*AU37,2)</f>
        <v>0</v>
      </c>
      <c r="AW37" s="269">
        <f>ROUND(AV37*($A$16+$A$17)/100,2)</f>
        <v>0</v>
      </c>
      <c r="AX37" s="198">
        <f>SUM(AV37:AW37)</f>
        <v>0</v>
      </c>
      <c r="AY37" s="190">
        <v>0</v>
      </c>
      <c r="AZ37" s="214">
        <f>$AV$21</f>
        <v>0.0445</v>
      </c>
      <c r="BA37" s="269">
        <f>ROUND(AY37*AZ37,2)</f>
        <v>0</v>
      </c>
      <c r="BB37" s="269">
        <f>ROUND(BA37*($A$16+$A$17)/100,2)</f>
        <v>0</v>
      </c>
      <c r="BC37" s="198">
        <f>SUM(BA37:BB37)</f>
        <v>0</v>
      </c>
      <c r="BD37" s="199">
        <f>SUM(AX37,BC37)</f>
        <v>0</v>
      </c>
      <c r="BE37" s="235" t="s">
        <v>139</v>
      </c>
      <c r="BF37" s="446" t="s">
        <v>140</v>
      </c>
      <c r="BG37" s="446"/>
      <c r="BH37" s="22" t="s">
        <v>41</v>
      </c>
      <c r="BI37" s="200">
        <f>BD37</f>
        <v>0</v>
      </c>
      <c r="BJ37" s="200">
        <f>ROUND(BI37*$S$19,2)</f>
        <v>0</v>
      </c>
      <c r="BK37" s="197">
        <f>ROUND(SUM(BI37:BJ37)*$AA$19,2)</f>
        <v>0</v>
      </c>
      <c r="BL37" s="197">
        <f>ROUND(SUM(BI37:BJ37)*$AA$21,2)</f>
        <v>0</v>
      </c>
      <c r="BM37" s="197"/>
      <c r="BN37" s="201">
        <f>ROUND(BI37*$S$20,2)</f>
        <v>0</v>
      </c>
      <c r="BO37" s="202">
        <f>SUM(BI37:BN37)</f>
        <v>0</v>
      </c>
      <c r="BP37" s="203">
        <f>ROUND(BO37*$S$21,2)</f>
        <v>0</v>
      </c>
      <c r="BQ37" s="204">
        <f>SUM(BO37:BP37)</f>
        <v>0</v>
      </c>
      <c r="BR37" s="205">
        <f>ROUND(BQ37*$AD$19/95,2)</f>
        <v>0</v>
      </c>
      <c r="BS37" s="206">
        <f>SUM(BQ37:BR37)</f>
        <v>0</v>
      </c>
      <c r="BT37" s="84"/>
    </row>
    <row r="38" spans="1:72" ht="28.5" customHeight="1">
      <c r="A38" s="84"/>
      <c r="B38" s="235" t="s">
        <v>141</v>
      </c>
      <c r="C38" s="236" t="s">
        <v>142</v>
      </c>
      <c r="D38" s="78" t="s">
        <v>53</v>
      </c>
      <c r="E38" s="190">
        <v>80</v>
      </c>
      <c r="F38" s="214">
        <f aca="true" t="shared" si="8" ref="F38:F46">$G$17</f>
        <v>0.0565</v>
      </c>
      <c r="G38" s="197">
        <f>ROUND(E38*F38,2)</f>
        <v>4.52</v>
      </c>
      <c r="H38" s="197">
        <f aca="true" t="shared" si="9" ref="H38:H45">ROUND(G38*($A$16+$A$17)/100,2)</f>
        <v>0</v>
      </c>
      <c r="I38" s="198">
        <f aca="true" t="shared" si="10" ref="I38:I45">SUM(G38:H38)</f>
        <v>4.52</v>
      </c>
      <c r="J38" s="257">
        <v>0</v>
      </c>
      <c r="K38" s="214">
        <f aca="true" t="shared" si="11" ref="K38:K46">$G$21</f>
        <v>0.0445</v>
      </c>
      <c r="L38" s="197">
        <f aca="true" t="shared" si="12" ref="L38:L45">ROUND(J38*K38,2)</f>
        <v>0</v>
      </c>
      <c r="M38" s="197">
        <f aca="true" t="shared" si="13" ref="M38:M45">ROUND(L38*($A$16+$A$17)/100,2)</f>
        <v>0</v>
      </c>
      <c r="N38" s="198">
        <f aca="true" t="shared" si="14" ref="N38:N45">SUM(L38:M38)</f>
        <v>0</v>
      </c>
      <c r="O38" s="199">
        <f>SUM(I38,N38)</f>
        <v>4.52</v>
      </c>
      <c r="P38" s="235" t="s">
        <v>141</v>
      </c>
      <c r="Q38" s="446" t="s">
        <v>142</v>
      </c>
      <c r="R38" s="446"/>
      <c r="S38" s="76"/>
      <c r="T38" s="22" t="s">
        <v>705</v>
      </c>
      <c r="U38" s="200">
        <f t="shared" si="0"/>
        <v>4.52</v>
      </c>
      <c r="V38" s="200">
        <f>ROUND(U38*$S$19,2)</f>
        <v>0.47</v>
      </c>
      <c r="W38" s="197">
        <f>ROUND(SUM(U38:V38)*$AA$19,2)</f>
        <v>1.7</v>
      </c>
      <c r="X38" s="197">
        <f t="shared" si="3"/>
        <v>0</v>
      </c>
      <c r="Y38" s="197"/>
      <c r="Z38" s="201">
        <f t="shared" si="4"/>
        <v>4.96</v>
      </c>
      <c r="AA38" s="202">
        <f aca="true" t="shared" si="15" ref="AA38:AA43">SUM(U38:Z38)</f>
        <v>11.649999999999999</v>
      </c>
      <c r="AB38" s="203">
        <f aca="true" t="shared" si="16" ref="AB38:AB43">ROUND(AA38*$S$21,2)</f>
        <v>3.5</v>
      </c>
      <c r="AC38" s="204">
        <f t="shared" si="5"/>
        <v>15.149999999999999</v>
      </c>
      <c r="AD38" s="205">
        <f t="shared" si="6"/>
        <v>0.8</v>
      </c>
      <c r="AE38" s="206">
        <f t="shared" si="7"/>
        <v>15.95</v>
      </c>
      <c r="AF38" s="84"/>
      <c r="AG38" s="235" t="s">
        <v>141</v>
      </c>
      <c r="AH38" s="446" t="s">
        <v>142</v>
      </c>
      <c r="AI38" s="446"/>
      <c r="AJ38" s="78" t="s">
        <v>54</v>
      </c>
      <c r="AK38" s="78"/>
      <c r="AL38" s="207">
        <f aca="true" t="shared" si="17" ref="AL38:AL118">AE38</f>
        <v>15.95</v>
      </c>
      <c r="AM38" s="207"/>
      <c r="AN38" s="207">
        <f aca="true" t="shared" si="18" ref="AN38:AN118">BS38</f>
        <v>1.5900000000000003</v>
      </c>
      <c r="AO38" s="19"/>
      <c r="AP38" s="84"/>
      <c r="AQ38" s="235" t="s">
        <v>141</v>
      </c>
      <c r="AR38" s="446" t="s">
        <v>142</v>
      </c>
      <c r="AS38" s="446"/>
      <c r="AT38" s="29">
        <v>8</v>
      </c>
      <c r="AU38" s="214">
        <f aca="true" t="shared" si="19" ref="AU38:AU91">$AV$17</f>
        <v>0.0565</v>
      </c>
      <c r="AV38" s="269">
        <f aca="true" t="shared" si="20" ref="AV38:AV91">ROUND(AT38*AU38,2)</f>
        <v>0.45</v>
      </c>
      <c r="AW38" s="269">
        <f aca="true" t="shared" si="21" ref="AW38:AW118">ROUND(AV38*($A$16+$A$17)/100,2)</f>
        <v>0</v>
      </c>
      <c r="AX38" s="198">
        <f aca="true" t="shared" si="22" ref="AX38:AX91">SUM(AV38:AW38)</f>
        <v>0.45</v>
      </c>
      <c r="AY38" s="190">
        <v>0</v>
      </c>
      <c r="AZ38" s="214">
        <f aca="true" t="shared" si="23" ref="AZ38:AZ91">$AV$21</f>
        <v>0.0445</v>
      </c>
      <c r="BA38" s="269">
        <f aca="true" t="shared" si="24" ref="BA38:BA91">ROUND(AY38*AZ38,2)</f>
        <v>0</v>
      </c>
      <c r="BB38" s="269">
        <f aca="true" t="shared" si="25" ref="BB38:BB118">ROUND(BA38*($A$16+$A$17)/100,2)</f>
        <v>0</v>
      </c>
      <c r="BC38" s="198">
        <f aca="true" t="shared" si="26" ref="BC38:BC91">SUM(BA38:BB38)</f>
        <v>0</v>
      </c>
      <c r="BD38" s="199">
        <f aca="true" t="shared" si="27" ref="BD38:BD91">SUM(AX38,BC38)</f>
        <v>0.45</v>
      </c>
      <c r="BE38" s="235" t="s">
        <v>141</v>
      </c>
      <c r="BF38" s="446" t="s">
        <v>142</v>
      </c>
      <c r="BG38" s="446"/>
      <c r="BH38" s="22" t="s">
        <v>54</v>
      </c>
      <c r="BI38" s="200">
        <f>BD38</f>
        <v>0.45</v>
      </c>
      <c r="BJ38" s="200">
        <f>ROUND(BI38*$S$19,2)</f>
        <v>0.05</v>
      </c>
      <c r="BK38" s="197">
        <f>ROUND(SUM(BI38:BJ38)*$AA$19,2)</f>
        <v>0.17</v>
      </c>
      <c r="BL38" s="197">
        <f>ROUND(SUM(BI38:BJ38)*$AA$21,2)</f>
        <v>0</v>
      </c>
      <c r="BM38" s="197"/>
      <c r="BN38" s="201">
        <f>ROUND(BI38*$S$20,2)</f>
        <v>0.49</v>
      </c>
      <c r="BO38" s="202">
        <f>SUM(BI38:BN38)</f>
        <v>1.1600000000000001</v>
      </c>
      <c r="BP38" s="203">
        <f>ROUND(BO38*$S$21,2)</f>
        <v>0.35</v>
      </c>
      <c r="BQ38" s="204">
        <f>SUM(BO38:BP38)</f>
        <v>1.5100000000000002</v>
      </c>
      <c r="BR38" s="205">
        <f>ROUND(BQ38*$AD$19/95,2)</f>
        <v>0.08</v>
      </c>
      <c r="BS38" s="206">
        <f>SUM(BQ38:BR38)</f>
        <v>1.5900000000000003</v>
      </c>
      <c r="BT38" s="84"/>
    </row>
    <row r="39" spans="1:72" ht="27.75" customHeight="1">
      <c r="A39" s="24"/>
      <c r="B39" s="235" t="s">
        <v>1011</v>
      </c>
      <c r="C39" s="363" t="s">
        <v>1012</v>
      </c>
      <c r="D39" s="78" t="s">
        <v>53</v>
      </c>
      <c r="E39" s="190">
        <v>120</v>
      </c>
      <c r="F39" s="214">
        <f t="shared" si="8"/>
        <v>0.0565</v>
      </c>
      <c r="G39" s="197">
        <f>ROUND(E39*F39,2)</f>
        <v>6.78</v>
      </c>
      <c r="H39" s="197">
        <f>ROUND(G39*($A$16+$A$17)/100,2)</f>
        <v>0</v>
      </c>
      <c r="I39" s="198">
        <f>SUM(G39:H39)</f>
        <v>6.78</v>
      </c>
      <c r="J39" s="257"/>
      <c r="K39" s="214">
        <f t="shared" si="11"/>
        <v>0.0445</v>
      </c>
      <c r="L39" s="197">
        <f>ROUND(J39*K39,2)</f>
        <v>0</v>
      </c>
      <c r="M39" s="197">
        <f>ROUND(L39*($A$16+$A$17)/100,2)</f>
        <v>0</v>
      </c>
      <c r="N39" s="198">
        <f>SUM(L39:M39)</f>
        <v>0</v>
      </c>
      <c r="O39" s="199">
        <f>SUM(I39,N39)</f>
        <v>6.78</v>
      </c>
      <c r="P39" s="235" t="s">
        <v>1011</v>
      </c>
      <c r="Q39" s="446" t="s">
        <v>1012</v>
      </c>
      <c r="R39" s="446"/>
      <c r="S39" s="76"/>
      <c r="T39" s="22" t="s">
        <v>706</v>
      </c>
      <c r="U39" s="200">
        <f>O39</f>
        <v>6.78</v>
      </c>
      <c r="V39" s="200">
        <f>ROUND(U39*$S$19,2)</f>
        <v>0.7</v>
      </c>
      <c r="W39" s="197">
        <f>ROUND(SUM(U39:V39)*$AA$19,2)</f>
        <v>2.54</v>
      </c>
      <c r="X39" s="197">
        <f>ROUND(SUM(U39:V39)*$AA$21,2)</f>
        <v>0.01</v>
      </c>
      <c r="Y39" s="197"/>
      <c r="Z39" s="201">
        <f>ROUND(U39*$S$20,2)</f>
        <v>7.44</v>
      </c>
      <c r="AA39" s="202">
        <f>SUM(U39:Z39)</f>
        <v>17.47</v>
      </c>
      <c r="AB39" s="203">
        <f>ROUND(AA39*$S$21,2)</f>
        <v>5.24</v>
      </c>
      <c r="AC39" s="204">
        <f>SUM(AA39:AB39)</f>
        <v>22.71</v>
      </c>
      <c r="AD39" s="205">
        <f>ROUND(AC39*$AD$19/95,2)</f>
        <v>1.2</v>
      </c>
      <c r="AE39" s="206">
        <f>SUM(AC39:AD39)</f>
        <v>23.91</v>
      </c>
      <c r="AF39" s="24"/>
      <c r="AG39" s="235" t="s">
        <v>1011</v>
      </c>
      <c r="AH39" s="446" t="s">
        <v>1012</v>
      </c>
      <c r="AI39" s="446"/>
      <c r="AJ39" s="78"/>
      <c r="AK39" s="78"/>
      <c r="AL39" s="207">
        <f>AE39</f>
        <v>23.91</v>
      </c>
      <c r="AM39" s="207"/>
      <c r="AN39" s="207">
        <f>BS39</f>
        <v>2.41</v>
      </c>
      <c r="AO39" s="19"/>
      <c r="AP39" s="24"/>
      <c r="AQ39" s="235" t="s">
        <v>1011</v>
      </c>
      <c r="AR39" s="446" t="s">
        <v>1012</v>
      </c>
      <c r="AS39" s="446"/>
      <c r="AT39" s="29">
        <v>12</v>
      </c>
      <c r="AU39" s="214">
        <f t="shared" si="19"/>
        <v>0.0565</v>
      </c>
      <c r="AV39" s="269">
        <f>ROUND(AT39*AU39,2)</f>
        <v>0.68</v>
      </c>
      <c r="AW39" s="269">
        <f>ROUND(AV39*($A$16+$A$17)/100,2)</f>
        <v>0</v>
      </c>
      <c r="AX39" s="198">
        <f>SUM(AV39:AW39)</f>
        <v>0.68</v>
      </c>
      <c r="AY39" s="190"/>
      <c r="AZ39" s="214">
        <f t="shared" si="23"/>
        <v>0.0445</v>
      </c>
      <c r="BA39" s="269">
        <f>ROUND(AY39*AZ39,2)</f>
        <v>0</v>
      </c>
      <c r="BB39" s="269">
        <f>ROUND(BA39*($A$16+$A$17)/100,2)</f>
        <v>0</v>
      </c>
      <c r="BC39" s="198">
        <f>SUM(BA39:BB39)</f>
        <v>0</v>
      </c>
      <c r="BD39" s="199">
        <f>SUM(AX39,BC39)</f>
        <v>0.68</v>
      </c>
      <c r="BE39" s="235" t="s">
        <v>1011</v>
      </c>
      <c r="BF39" s="446" t="s">
        <v>1012</v>
      </c>
      <c r="BG39" s="446"/>
      <c r="BH39" s="22"/>
      <c r="BI39" s="200">
        <f>BD39</f>
        <v>0.68</v>
      </c>
      <c r="BJ39" s="200">
        <f>ROUND(BI39*$S$19,2)</f>
        <v>0.07</v>
      </c>
      <c r="BK39" s="197">
        <f>ROUND(SUM(BI39:BJ39)*$AA$19,2)</f>
        <v>0.26</v>
      </c>
      <c r="BL39" s="197">
        <f>ROUND(SUM(BI39:BJ39)*$AA$21,2)</f>
        <v>0</v>
      </c>
      <c r="BM39" s="197"/>
      <c r="BN39" s="201">
        <f>ROUND(BI39*$S$20,2)</f>
        <v>0.75</v>
      </c>
      <c r="BO39" s="202">
        <f>SUM(BI39:BN39)</f>
        <v>1.76</v>
      </c>
      <c r="BP39" s="203">
        <f>ROUND(BO39*$S$21,2)</f>
        <v>0.53</v>
      </c>
      <c r="BQ39" s="204">
        <f>SUM(BO39:BP39)</f>
        <v>2.29</v>
      </c>
      <c r="BR39" s="205">
        <f>ROUND(BQ39*$AD$19/95,2)</f>
        <v>0.12</v>
      </c>
      <c r="BS39" s="206">
        <f>SUM(BQ39:BR39)</f>
        <v>2.41</v>
      </c>
      <c r="BT39" s="24"/>
    </row>
    <row r="40" spans="1:72" ht="27.75" customHeight="1">
      <c r="A40" s="24"/>
      <c r="B40" s="235" t="s">
        <v>143</v>
      </c>
      <c r="C40" s="236" t="s">
        <v>144</v>
      </c>
      <c r="D40" s="78" t="s">
        <v>53</v>
      </c>
      <c r="E40" s="190">
        <v>60</v>
      </c>
      <c r="F40" s="214">
        <f t="shared" si="8"/>
        <v>0.0565</v>
      </c>
      <c r="G40" s="197">
        <f aca="true" t="shared" si="28" ref="G40:G45">ROUND(E40*F40,2)</f>
        <v>3.39</v>
      </c>
      <c r="H40" s="197">
        <f t="shared" si="9"/>
        <v>0</v>
      </c>
      <c r="I40" s="198">
        <f t="shared" si="10"/>
        <v>3.39</v>
      </c>
      <c r="J40" s="257">
        <v>30</v>
      </c>
      <c r="K40" s="214">
        <f t="shared" si="11"/>
        <v>0.0445</v>
      </c>
      <c r="L40" s="197">
        <f t="shared" si="12"/>
        <v>1.34</v>
      </c>
      <c r="M40" s="197">
        <f t="shared" si="13"/>
        <v>0</v>
      </c>
      <c r="N40" s="198">
        <f t="shared" si="14"/>
        <v>1.34</v>
      </c>
      <c r="O40" s="199">
        <f aca="true" t="shared" si="29" ref="O40:O45">SUM(I40,N40)</f>
        <v>4.73</v>
      </c>
      <c r="P40" s="235" t="s">
        <v>143</v>
      </c>
      <c r="Q40" s="446" t="s">
        <v>144</v>
      </c>
      <c r="R40" s="446"/>
      <c r="S40" s="76"/>
      <c r="T40" s="22" t="s">
        <v>706</v>
      </c>
      <c r="U40" s="200">
        <f t="shared" si="0"/>
        <v>4.73</v>
      </c>
      <c r="V40" s="200">
        <f t="shared" si="1"/>
        <v>0.49</v>
      </c>
      <c r="W40" s="197">
        <f t="shared" si="2"/>
        <v>1.77</v>
      </c>
      <c r="X40" s="197">
        <f t="shared" si="3"/>
        <v>0</v>
      </c>
      <c r="Y40" s="197"/>
      <c r="Z40" s="201">
        <f t="shared" si="4"/>
        <v>5.19</v>
      </c>
      <c r="AA40" s="202">
        <f t="shared" si="15"/>
        <v>12.18</v>
      </c>
      <c r="AB40" s="203">
        <f t="shared" si="16"/>
        <v>3.65</v>
      </c>
      <c r="AC40" s="204">
        <f t="shared" si="5"/>
        <v>15.83</v>
      </c>
      <c r="AD40" s="205">
        <f t="shared" si="6"/>
        <v>0.83</v>
      </c>
      <c r="AE40" s="206">
        <f t="shared" si="7"/>
        <v>16.66</v>
      </c>
      <c r="AF40" s="24"/>
      <c r="AG40" s="235" t="s">
        <v>143</v>
      </c>
      <c r="AH40" s="446" t="s">
        <v>144</v>
      </c>
      <c r="AI40" s="446"/>
      <c r="AJ40" s="78"/>
      <c r="AK40" s="78"/>
      <c r="AL40" s="207">
        <f t="shared" si="17"/>
        <v>16.66</v>
      </c>
      <c r="AM40" s="207"/>
      <c r="AN40" s="207">
        <f t="shared" si="18"/>
        <v>1.67</v>
      </c>
      <c r="AO40" s="19"/>
      <c r="AP40" s="24"/>
      <c r="AQ40" s="235" t="s">
        <v>143</v>
      </c>
      <c r="AR40" s="446" t="s">
        <v>144</v>
      </c>
      <c r="AS40" s="446"/>
      <c r="AT40" s="29">
        <v>6</v>
      </c>
      <c r="AU40" s="214">
        <f t="shared" si="19"/>
        <v>0.0565</v>
      </c>
      <c r="AV40" s="269">
        <f t="shared" si="20"/>
        <v>0.34</v>
      </c>
      <c r="AW40" s="269">
        <f t="shared" si="21"/>
        <v>0</v>
      </c>
      <c r="AX40" s="198">
        <f t="shared" si="22"/>
        <v>0.34</v>
      </c>
      <c r="AY40" s="190">
        <v>3</v>
      </c>
      <c r="AZ40" s="214">
        <f t="shared" si="23"/>
        <v>0.0445</v>
      </c>
      <c r="BA40" s="269">
        <f t="shared" si="24"/>
        <v>0.13</v>
      </c>
      <c r="BB40" s="269">
        <f t="shared" si="25"/>
        <v>0</v>
      </c>
      <c r="BC40" s="198">
        <f t="shared" si="26"/>
        <v>0.13</v>
      </c>
      <c r="BD40" s="199">
        <f t="shared" si="27"/>
        <v>0.47000000000000003</v>
      </c>
      <c r="BE40" s="235" t="s">
        <v>143</v>
      </c>
      <c r="BF40" s="446" t="s">
        <v>144</v>
      </c>
      <c r="BG40" s="446"/>
      <c r="BH40" s="22"/>
      <c r="BI40" s="200">
        <f aca="true" t="shared" si="30" ref="BI40:BI118">BD40</f>
        <v>0.47000000000000003</v>
      </c>
      <c r="BJ40" s="200">
        <f aca="true" t="shared" si="31" ref="BJ40:BJ118">ROUND(BI40*$S$19,2)</f>
        <v>0.05</v>
      </c>
      <c r="BK40" s="197">
        <f aca="true" t="shared" si="32" ref="BK40:BK118">ROUND(SUM(BI40:BJ40)*$AA$19,2)</f>
        <v>0.18</v>
      </c>
      <c r="BL40" s="197">
        <f aca="true" t="shared" si="33" ref="BL40:BL118">ROUND(SUM(BI40:BJ40)*$AA$21,2)</f>
        <v>0</v>
      </c>
      <c r="BM40" s="197"/>
      <c r="BN40" s="201">
        <f aca="true" t="shared" si="34" ref="BN40:BN118">ROUND(BI40*$S$20,2)</f>
        <v>0.52</v>
      </c>
      <c r="BO40" s="202">
        <f aca="true" t="shared" si="35" ref="BO40:BO118">SUM(BI40:BN40)</f>
        <v>1.22</v>
      </c>
      <c r="BP40" s="203">
        <f aca="true" t="shared" si="36" ref="BP40:BP118">ROUND(BO40*$S$21,2)</f>
        <v>0.37</v>
      </c>
      <c r="BQ40" s="204">
        <f aca="true" t="shared" si="37" ref="BQ40:BQ118">SUM(BO40:BP40)</f>
        <v>1.5899999999999999</v>
      </c>
      <c r="BR40" s="205">
        <f aca="true" t="shared" si="38" ref="BR40:BR118">ROUND(BQ40*$AD$19/95,2)</f>
        <v>0.08</v>
      </c>
      <c r="BS40" s="206">
        <f aca="true" t="shared" si="39" ref="BS40:BS118">SUM(BQ40:BR40)</f>
        <v>1.67</v>
      </c>
      <c r="BT40" s="24"/>
    </row>
    <row r="41" spans="1:72" ht="21" customHeight="1">
      <c r="A41" s="24"/>
      <c r="B41" s="235" t="s">
        <v>145</v>
      </c>
      <c r="C41" s="236" t="s">
        <v>146</v>
      </c>
      <c r="D41" s="78" t="s">
        <v>53</v>
      </c>
      <c r="E41" s="190">
        <v>30</v>
      </c>
      <c r="F41" s="214">
        <f t="shared" si="8"/>
        <v>0.0565</v>
      </c>
      <c r="G41" s="197">
        <f t="shared" si="28"/>
        <v>1.7</v>
      </c>
      <c r="H41" s="197">
        <f t="shared" si="9"/>
        <v>0</v>
      </c>
      <c r="I41" s="198">
        <f t="shared" si="10"/>
        <v>1.7</v>
      </c>
      <c r="J41" s="257">
        <v>60</v>
      </c>
      <c r="K41" s="214">
        <f t="shared" si="11"/>
        <v>0.0445</v>
      </c>
      <c r="L41" s="197">
        <f t="shared" si="12"/>
        <v>2.67</v>
      </c>
      <c r="M41" s="197">
        <f t="shared" si="13"/>
        <v>0</v>
      </c>
      <c r="N41" s="198">
        <f t="shared" si="14"/>
        <v>2.67</v>
      </c>
      <c r="O41" s="199">
        <f t="shared" si="29"/>
        <v>4.37</v>
      </c>
      <c r="P41" s="235" t="s">
        <v>145</v>
      </c>
      <c r="Q41" s="446" t="s">
        <v>146</v>
      </c>
      <c r="R41" s="446"/>
      <c r="S41" s="76"/>
      <c r="T41" s="22" t="s">
        <v>707</v>
      </c>
      <c r="U41" s="200">
        <f t="shared" si="0"/>
        <v>4.37</v>
      </c>
      <c r="V41" s="200">
        <f t="shared" si="1"/>
        <v>0.45</v>
      </c>
      <c r="W41" s="197">
        <f t="shared" si="2"/>
        <v>1.64</v>
      </c>
      <c r="X41" s="197">
        <f t="shared" si="3"/>
        <v>0</v>
      </c>
      <c r="Y41" s="197"/>
      <c r="Z41" s="201">
        <f t="shared" si="4"/>
        <v>4.8</v>
      </c>
      <c r="AA41" s="202">
        <f t="shared" si="15"/>
        <v>11.26</v>
      </c>
      <c r="AB41" s="203">
        <f t="shared" si="16"/>
        <v>3.38</v>
      </c>
      <c r="AC41" s="204">
        <f t="shared" si="5"/>
        <v>14.64</v>
      </c>
      <c r="AD41" s="205">
        <f t="shared" si="6"/>
        <v>0.77</v>
      </c>
      <c r="AE41" s="206">
        <f t="shared" si="7"/>
        <v>15.41</v>
      </c>
      <c r="AF41" s="24"/>
      <c r="AG41" s="235" t="s">
        <v>145</v>
      </c>
      <c r="AH41" s="446" t="s">
        <v>146</v>
      </c>
      <c r="AI41" s="446"/>
      <c r="AJ41" s="78"/>
      <c r="AK41" s="78"/>
      <c r="AL41" s="207">
        <f t="shared" si="17"/>
        <v>15.41</v>
      </c>
      <c r="AM41" s="207"/>
      <c r="AN41" s="207">
        <f t="shared" si="18"/>
        <v>1.5600000000000003</v>
      </c>
      <c r="AO41" s="19"/>
      <c r="AP41" s="24"/>
      <c r="AQ41" s="235" t="s">
        <v>145</v>
      </c>
      <c r="AR41" s="446" t="s">
        <v>146</v>
      </c>
      <c r="AS41" s="446"/>
      <c r="AT41" s="29">
        <v>3</v>
      </c>
      <c r="AU41" s="214">
        <f t="shared" si="19"/>
        <v>0.0565</v>
      </c>
      <c r="AV41" s="269">
        <f t="shared" si="20"/>
        <v>0.17</v>
      </c>
      <c r="AW41" s="269">
        <f t="shared" si="21"/>
        <v>0</v>
      </c>
      <c r="AX41" s="198">
        <f t="shared" si="22"/>
        <v>0.17</v>
      </c>
      <c r="AY41" s="190">
        <v>6</v>
      </c>
      <c r="AZ41" s="214">
        <f t="shared" si="23"/>
        <v>0.0445</v>
      </c>
      <c r="BA41" s="269">
        <f t="shared" si="24"/>
        <v>0.27</v>
      </c>
      <c r="BB41" s="269">
        <f t="shared" si="25"/>
        <v>0</v>
      </c>
      <c r="BC41" s="198">
        <f t="shared" si="26"/>
        <v>0.27</v>
      </c>
      <c r="BD41" s="199">
        <f t="shared" si="27"/>
        <v>0.44000000000000006</v>
      </c>
      <c r="BE41" s="235" t="s">
        <v>145</v>
      </c>
      <c r="BF41" s="446" t="s">
        <v>146</v>
      </c>
      <c r="BG41" s="446"/>
      <c r="BH41" s="22"/>
      <c r="BI41" s="200">
        <f t="shared" si="30"/>
        <v>0.44000000000000006</v>
      </c>
      <c r="BJ41" s="200">
        <f t="shared" si="31"/>
        <v>0.05</v>
      </c>
      <c r="BK41" s="197">
        <f t="shared" si="32"/>
        <v>0.17</v>
      </c>
      <c r="BL41" s="197">
        <f t="shared" si="33"/>
        <v>0</v>
      </c>
      <c r="BM41" s="197"/>
      <c r="BN41" s="201">
        <f t="shared" si="34"/>
        <v>0.48</v>
      </c>
      <c r="BO41" s="202">
        <f t="shared" si="35"/>
        <v>1.1400000000000001</v>
      </c>
      <c r="BP41" s="203">
        <f t="shared" si="36"/>
        <v>0.34</v>
      </c>
      <c r="BQ41" s="204">
        <f t="shared" si="37"/>
        <v>1.4800000000000002</v>
      </c>
      <c r="BR41" s="205">
        <f t="shared" si="38"/>
        <v>0.08</v>
      </c>
      <c r="BS41" s="206">
        <f t="shared" si="39"/>
        <v>1.5600000000000003</v>
      </c>
      <c r="BT41" s="24"/>
    </row>
    <row r="42" spans="1:72" ht="21.75" customHeight="1">
      <c r="A42" s="24"/>
      <c r="B42" s="235" t="s">
        <v>147</v>
      </c>
      <c r="C42" s="236" t="s">
        <v>148</v>
      </c>
      <c r="D42" s="78" t="s">
        <v>53</v>
      </c>
      <c r="E42" s="190">
        <v>30</v>
      </c>
      <c r="F42" s="214">
        <f t="shared" si="8"/>
        <v>0.0565</v>
      </c>
      <c r="G42" s="197">
        <f t="shared" si="28"/>
        <v>1.7</v>
      </c>
      <c r="H42" s="197">
        <f t="shared" si="9"/>
        <v>0</v>
      </c>
      <c r="I42" s="198">
        <f t="shared" si="10"/>
        <v>1.7</v>
      </c>
      <c r="J42" s="257">
        <v>100</v>
      </c>
      <c r="K42" s="214">
        <f t="shared" si="11"/>
        <v>0.0445</v>
      </c>
      <c r="L42" s="197">
        <f t="shared" si="12"/>
        <v>4.45</v>
      </c>
      <c r="M42" s="197">
        <f t="shared" si="13"/>
        <v>0</v>
      </c>
      <c r="N42" s="198">
        <f t="shared" si="14"/>
        <v>4.45</v>
      </c>
      <c r="O42" s="199">
        <f t="shared" si="29"/>
        <v>6.15</v>
      </c>
      <c r="P42" s="235" t="s">
        <v>147</v>
      </c>
      <c r="Q42" s="446" t="s">
        <v>148</v>
      </c>
      <c r="R42" s="446"/>
      <c r="S42" s="76"/>
      <c r="T42" s="22" t="s">
        <v>708</v>
      </c>
      <c r="U42" s="200">
        <f t="shared" si="0"/>
        <v>6.15</v>
      </c>
      <c r="V42" s="200">
        <f t="shared" si="1"/>
        <v>0.64</v>
      </c>
      <c r="W42" s="197">
        <f t="shared" si="2"/>
        <v>2.31</v>
      </c>
      <c r="X42" s="197">
        <f t="shared" si="3"/>
        <v>0.01</v>
      </c>
      <c r="Y42" s="197"/>
      <c r="Z42" s="201">
        <f t="shared" si="4"/>
        <v>6.75</v>
      </c>
      <c r="AA42" s="202">
        <f t="shared" si="15"/>
        <v>15.86</v>
      </c>
      <c r="AB42" s="203">
        <f t="shared" si="16"/>
        <v>4.76</v>
      </c>
      <c r="AC42" s="204">
        <f t="shared" si="5"/>
        <v>20.619999999999997</v>
      </c>
      <c r="AD42" s="205">
        <f t="shared" si="6"/>
        <v>1.09</v>
      </c>
      <c r="AE42" s="206">
        <f t="shared" si="7"/>
        <v>21.709999999999997</v>
      </c>
      <c r="AF42" s="24"/>
      <c r="AG42" s="235" t="s">
        <v>147</v>
      </c>
      <c r="AH42" s="446" t="s">
        <v>148</v>
      </c>
      <c r="AI42" s="446"/>
      <c r="AJ42" s="78"/>
      <c r="AK42" s="78"/>
      <c r="AL42" s="207">
        <f t="shared" si="17"/>
        <v>21.709999999999997</v>
      </c>
      <c r="AM42" s="207"/>
      <c r="AN42" s="207">
        <f t="shared" si="18"/>
        <v>2.1799999999999997</v>
      </c>
      <c r="AO42" s="19"/>
      <c r="AP42" s="24"/>
      <c r="AQ42" s="235" t="s">
        <v>147</v>
      </c>
      <c r="AR42" s="446" t="s">
        <v>148</v>
      </c>
      <c r="AS42" s="446"/>
      <c r="AT42" s="29">
        <v>3</v>
      </c>
      <c r="AU42" s="214">
        <f t="shared" si="19"/>
        <v>0.0565</v>
      </c>
      <c r="AV42" s="269">
        <f t="shared" si="20"/>
        <v>0.17</v>
      </c>
      <c r="AW42" s="269">
        <f t="shared" si="21"/>
        <v>0</v>
      </c>
      <c r="AX42" s="198">
        <f t="shared" si="22"/>
        <v>0.17</v>
      </c>
      <c r="AY42" s="190">
        <v>10</v>
      </c>
      <c r="AZ42" s="214">
        <f t="shared" si="23"/>
        <v>0.0445</v>
      </c>
      <c r="BA42" s="269">
        <f t="shared" si="24"/>
        <v>0.45</v>
      </c>
      <c r="BB42" s="269">
        <f t="shared" si="25"/>
        <v>0</v>
      </c>
      <c r="BC42" s="198">
        <f t="shared" si="26"/>
        <v>0.45</v>
      </c>
      <c r="BD42" s="199">
        <f t="shared" si="27"/>
        <v>0.62</v>
      </c>
      <c r="BE42" s="235" t="s">
        <v>147</v>
      </c>
      <c r="BF42" s="446" t="s">
        <v>148</v>
      </c>
      <c r="BG42" s="446"/>
      <c r="BH42" s="22"/>
      <c r="BI42" s="200">
        <f t="shared" si="30"/>
        <v>0.62</v>
      </c>
      <c r="BJ42" s="200">
        <f t="shared" si="31"/>
        <v>0.06</v>
      </c>
      <c r="BK42" s="197">
        <f t="shared" si="32"/>
        <v>0.23</v>
      </c>
      <c r="BL42" s="197">
        <f t="shared" si="33"/>
        <v>0</v>
      </c>
      <c r="BM42" s="197"/>
      <c r="BN42" s="201">
        <f t="shared" si="34"/>
        <v>0.68</v>
      </c>
      <c r="BO42" s="202">
        <f t="shared" si="35"/>
        <v>1.5899999999999999</v>
      </c>
      <c r="BP42" s="203">
        <f t="shared" si="36"/>
        <v>0.48</v>
      </c>
      <c r="BQ42" s="204">
        <f t="shared" si="37"/>
        <v>2.07</v>
      </c>
      <c r="BR42" s="205">
        <f t="shared" si="38"/>
        <v>0.11</v>
      </c>
      <c r="BS42" s="206">
        <f t="shared" si="39"/>
        <v>2.1799999999999997</v>
      </c>
      <c r="BT42" s="24"/>
    </row>
    <row r="43" spans="1:72" ht="77.25" customHeight="1">
      <c r="A43" s="24"/>
      <c r="B43" s="235" t="s">
        <v>149</v>
      </c>
      <c r="C43" s="236" t="s">
        <v>150</v>
      </c>
      <c r="D43" s="78" t="s">
        <v>53</v>
      </c>
      <c r="E43" s="190">
        <v>0</v>
      </c>
      <c r="F43" s="214">
        <f t="shared" si="8"/>
        <v>0.0565</v>
      </c>
      <c r="G43" s="197">
        <f t="shared" si="28"/>
        <v>0</v>
      </c>
      <c r="H43" s="197">
        <f t="shared" si="9"/>
        <v>0</v>
      </c>
      <c r="I43" s="198">
        <f t="shared" si="10"/>
        <v>0</v>
      </c>
      <c r="J43" s="257">
        <v>20</v>
      </c>
      <c r="K43" s="214">
        <f t="shared" si="11"/>
        <v>0.0445</v>
      </c>
      <c r="L43" s="197">
        <f t="shared" si="12"/>
        <v>0.89</v>
      </c>
      <c r="M43" s="197">
        <f t="shared" si="13"/>
        <v>0</v>
      </c>
      <c r="N43" s="198">
        <f t="shared" si="14"/>
        <v>0.89</v>
      </c>
      <c r="O43" s="199">
        <f t="shared" si="29"/>
        <v>0.89</v>
      </c>
      <c r="P43" s="235" t="s">
        <v>149</v>
      </c>
      <c r="Q43" s="446" t="s">
        <v>150</v>
      </c>
      <c r="R43" s="446"/>
      <c r="S43" s="76"/>
      <c r="T43" s="22" t="s">
        <v>709</v>
      </c>
      <c r="U43" s="200">
        <f t="shared" si="0"/>
        <v>0.89</v>
      </c>
      <c r="V43" s="200">
        <f t="shared" si="1"/>
        <v>0.09</v>
      </c>
      <c r="W43" s="197">
        <f t="shared" si="2"/>
        <v>0.33</v>
      </c>
      <c r="X43" s="197">
        <f t="shared" si="3"/>
        <v>0</v>
      </c>
      <c r="Y43" s="197"/>
      <c r="Z43" s="201">
        <f t="shared" si="4"/>
        <v>0.98</v>
      </c>
      <c r="AA43" s="202">
        <f t="shared" si="15"/>
        <v>2.29</v>
      </c>
      <c r="AB43" s="203">
        <f t="shared" si="16"/>
        <v>0.69</v>
      </c>
      <c r="AC43" s="204">
        <f t="shared" si="5"/>
        <v>2.98</v>
      </c>
      <c r="AD43" s="205">
        <f t="shared" si="6"/>
        <v>0.16</v>
      </c>
      <c r="AE43" s="206">
        <f t="shared" si="7"/>
        <v>3.14</v>
      </c>
      <c r="AF43" s="24"/>
      <c r="AG43" s="235" t="s">
        <v>149</v>
      </c>
      <c r="AH43" s="446" t="s">
        <v>150</v>
      </c>
      <c r="AI43" s="446"/>
      <c r="AJ43" s="78"/>
      <c r="AK43" s="78"/>
      <c r="AL43" s="207">
        <f t="shared" si="17"/>
        <v>3.14</v>
      </c>
      <c r="AM43" s="207"/>
      <c r="AN43" s="207">
        <f t="shared" si="18"/>
        <v>0.32000000000000006</v>
      </c>
      <c r="AO43" s="19"/>
      <c r="AP43" s="24"/>
      <c r="AQ43" s="235" t="s">
        <v>149</v>
      </c>
      <c r="AR43" s="446" t="s">
        <v>150</v>
      </c>
      <c r="AS43" s="446"/>
      <c r="AT43" s="29">
        <v>0</v>
      </c>
      <c r="AU43" s="214">
        <f t="shared" si="19"/>
        <v>0.0565</v>
      </c>
      <c r="AV43" s="269">
        <f t="shared" si="20"/>
        <v>0</v>
      </c>
      <c r="AW43" s="269">
        <f t="shared" si="21"/>
        <v>0</v>
      </c>
      <c r="AX43" s="198">
        <f t="shared" si="22"/>
        <v>0</v>
      </c>
      <c r="AY43" s="307">
        <v>2</v>
      </c>
      <c r="AZ43" s="214">
        <f t="shared" si="23"/>
        <v>0.0445</v>
      </c>
      <c r="BA43" s="269">
        <f t="shared" si="24"/>
        <v>0.09</v>
      </c>
      <c r="BB43" s="269">
        <f t="shared" si="25"/>
        <v>0</v>
      </c>
      <c r="BC43" s="198">
        <f t="shared" si="26"/>
        <v>0.09</v>
      </c>
      <c r="BD43" s="199">
        <f t="shared" si="27"/>
        <v>0.09</v>
      </c>
      <c r="BE43" s="235" t="s">
        <v>149</v>
      </c>
      <c r="BF43" s="446" t="s">
        <v>150</v>
      </c>
      <c r="BG43" s="446"/>
      <c r="BH43" s="22"/>
      <c r="BI43" s="200">
        <f t="shared" si="30"/>
        <v>0.09</v>
      </c>
      <c r="BJ43" s="200">
        <f t="shared" si="31"/>
        <v>0.01</v>
      </c>
      <c r="BK43" s="197">
        <f t="shared" si="32"/>
        <v>0.03</v>
      </c>
      <c r="BL43" s="197">
        <f t="shared" si="33"/>
        <v>0</v>
      </c>
      <c r="BM43" s="197"/>
      <c r="BN43" s="201">
        <f t="shared" si="34"/>
        <v>0.1</v>
      </c>
      <c r="BO43" s="202">
        <f t="shared" si="35"/>
        <v>0.23</v>
      </c>
      <c r="BP43" s="203">
        <f t="shared" si="36"/>
        <v>0.07</v>
      </c>
      <c r="BQ43" s="204">
        <f t="shared" si="37"/>
        <v>0.30000000000000004</v>
      </c>
      <c r="BR43" s="205">
        <f t="shared" si="38"/>
        <v>0.02</v>
      </c>
      <c r="BS43" s="206">
        <f t="shared" si="39"/>
        <v>0.32000000000000006</v>
      </c>
      <c r="BT43" s="24"/>
    </row>
    <row r="44" spans="1:72" ht="51.75" customHeight="1">
      <c r="A44" s="84"/>
      <c r="B44" s="235" t="s">
        <v>153</v>
      </c>
      <c r="C44" s="236" t="s">
        <v>154</v>
      </c>
      <c r="D44" s="78" t="s">
        <v>53</v>
      </c>
      <c r="E44" s="190">
        <v>90</v>
      </c>
      <c r="F44" s="214">
        <f t="shared" si="8"/>
        <v>0.0565</v>
      </c>
      <c r="G44" s="197">
        <f t="shared" si="28"/>
        <v>5.09</v>
      </c>
      <c r="H44" s="197">
        <f t="shared" si="9"/>
        <v>0</v>
      </c>
      <c r="I44" s="198">
        <f t="shared" si="10"/>
        <v>5.09</v>
      </c>
      <c r="J44" s="257">
        <v>0</v>
      </c>
      <c r="K44" s="214">
        <f t="shared" si="11"/>
        <v>0.0445</v>
      </c>
      <c r="L44" s="197">
        <f t="shared" si="12"/>
        <v>0</v>
      </c>
      <c r="M44" s="197">
        <f t="shared" si="13"/>
        <v>0</v>
      </c>
      <c r="N44" s="198">
        <f t="shared" si="14"/>
        <v>0</v>
      </c>
      <c r="O44" s="199">
        <f t="shared" si="29"/>
        <v>5.09</v>
      </c>
      <c r="P44" s="235" t="s">
        <v>153</v>
      </c>
      <c r="Q44" s="446" t="s">
        <v>154</v>
      </c>
      <c r="R44" s="446"/>
      <c r="S44" s="76"/>
      <c r="T44" s="22" t="s">
        <v>710</v>
      </c>
      <c r="U44" s="200">
        <f aca="true" t="shared" si="40" ref="U44:U124">O44</f>
        <v>5.09</v>
      </c>
      <c r="V44" s="200">
        <f aca="true" t="shared" si="41" ref="V44:V124">ROUND(U44*$S$19,2)</f>
        <v>0.53</v>
      </c>
      <c r="W44" s="197">
        <f aca="true" t="shared" si="42" ref="W44:W124">ROUND(SUM(U44:V44)*$AA$19,2)</f>
        <v>1.91</v>
      </c>
      <c r="X44" s="197">
        <f aca="true" t="shared" si="43" ref="X44:X124">ROUND(SUM(U44:V44)*$AA$21,2)</f>
        <v>0</v>
      </c>
      <c r="Y44" s="197"/>
      <c r="Z44" s="201">
        <f aca="true" t="shared" si="44" ref="Z44:Z124">ROUND(U44*$S$20,2)</f>
        <v>5.59</v>
      </c>
      <c r="AA44" s="202">
        <f aca="true" t="shared" si="45" ref="AA44:AA124">SUM(U44:Z44)</f>
        <v>13.120000000000001</v>
      </c>
      <c r="AB44" s="203">
        <f aca="true" t="shared" si="46" ref="AB44:AB124">ROUND(AA44*$S$21,2)</f>
        <v>3.94</v>
      </c>
      <c r="AC44" s="204">
        <f aca="true" t="shared" si="47" ref="AC44:AC124">SUM(AA44:AB44)</f>
        <v>17.060000000000002</v>
      </c>
      <c r="AD44" s="205">
        <f aca="true" t="shared" si="48" ref="AD44:AD124">ROUND(AC44*$AD$19/95,2)</f>
        <v>0.9</v>
      </c>
      <c r="AE44" s="206">
        <f aca="true" t="shared" si="49" ref="AE44:AE124">SUM(AC44:AD44)</f>
        <v>17.96</v>
      </c>
      <c r="AF44" s="84"/>
      <c r="AG44" s="235" t="s">
        <v>153</v>
      </c>
      <c r="AH44" s="446" t="s">
        <v>154</v>
      </c>
      <c r="AI44" s="446"/>
      <c r="AJ44" s="78" t="s">
        <v>54</v>
      </c>
      <c r="AK44" s="78"/>
      <c r="AL44" s="207">
        <f t="shared" si="17"/>
        <v>17.96</v>
      </c>
      <c r="AM44" s="207"/>
      <c r="AN44" s="207">
        <f t="shared" si="18"/>
        <v>0</v>
      </c>
      <c r="AO44" s="19"/>
      <c r="AP44" s="84"/>
      <c r="AQ44" s="235" t="s">
        <v>153</v>
      </c>
      <c r="AR44" s="446" t="s">
        <v>154</v>
      </c>
      <c r="AS44" s="446"/>
      <c r="AT44" s="29">
        <v>0</v>
      </c>
      <c r="AU44" s="214">
        <f t="shared" si="19"/>
        <v>0.0565</v>
      </c>
      <c r="AV44" s="269">
        <f t="shared" si="20"/>
        <v>0</v>
      </c>
      <c r="AW44" s="269">
        <f t="shared" si="21"/>
        <v>0</v>
      </c>
      <c r="AX44" s="198">
        <f t="shared" si="22"/>
        <v>0</v>
      </c>
      <c r="AY44" s="190">
        <v>0</v>
      </c>
      <c r="AZ44" s="214">
        <f t="shared" si="23"/>
        <v>0.0445</v>
      </c>
      <c r="BA44" s="269">
        <f t="shared" si="24"/>
        <v>0</v>
      </c>
      <c r="BB44" s="269">
        <f t="shared" si="25"/>
        <v>0</v>
      </c>
      <c r="BC44" s="198">
        <f t="shared" si="26"/>
        <v>0</v>
      </c>
      <c r="BD44" s="199">
        <f t="shared" si="27"/>
        <v>0</v>
      </c>
      <c r="BE44" s="235" t="s">
        <v>153</v>
      </c>
      <c r="BF44" s="446" t="s">
        <v>154</v>
      </c>
      <c r="BG44" s="446"/>
      <c r="BH44" s="22" t="s">
        <v>54</v>
      </c>
      <c r="BI44" s="200">
        <f t="shared" si="30"/>
        <v>0</v>
      </c>
      <c r="BJ44" s="200">
        <f t="shared" si="31"/>
        <v>0</v>
      </c>
      <c r="BK44" s="197">
        <f t="shared" si="32"/>
        <v>0</v>
      </c>
      <c r="BL44" s="197">
        <f t="shared" si="33"/>
        <v>0</v>
      </c>
      <c r="BM44" s="197"/>
      <c r="BN44" s="201">
        <f t="shared" si="34"/>
        <v>0</v>
      </c>
      <c r="BO44" s="202">
        <f t="shared" si="35"/>
        <v>0</v>
      </c>
      <c r="BP44" s="203">
        <f t="shared" si="36"/>
        <v>0</v>
      </c>
      <c r="BQ44" s="204">
        <f t="shared" si="37"/>
        <v>0</v>
      </c>
      <c r="BR44" s="205">
        <f t="shared" si="38"/>
        <v>0</v>
      </c>
      <c r="BS44" s="206">
        <f t="shared" si="39"/>
        <v>0</v>
      </c>
      <c r="BT44" s="84"/>
    </row>
    <row r="45" spans="1:72" ht="39" customHeight="1">
      <c r="A45" s="84"/>
      <c r="B45" s="235" t="s">
        <v>155</v>
      </c>
      <c r="C45" s="236" t="s">
        <v>156</v>
      </c>
      <c r="D45" s="78" t="s">
        <v>53</v>
      </c>
      <c r="E45" s="190">
        <v>90</v>
      </c>
      <c r="F45" s="214">
        <f t="shared" si="8"/>
        <v>0.0565</v>
      </c>
      <c r="G45" s="197">
        <f t="shared" si="28"/>
        <v>5.09</v>
      </c>
      <c r="H45" s="197">
        <f t="shared" si="9"/>
        <v>0</v>
      </c>
      <c r="I45" s="198">
        <f t="shared" si="10"/>
        <v>5.09</v>
      </c>
      <c r="J45" s="257">
        <v>0</v>
      </c>
      <c r="K45" s="214">
        <f t="shared" si="11"/>
        <v>0.0445</v>
      </c>
      <c r="L45" s="197">
        <f t="shared" si="12"/>
        <v>0</v>
      </c>
      <c r="M45" s="197">
        <f t="shared" si="13"/>
        <v>0</v>
      </c>
      <c r="N45" s="198">
        <f t="shared" si="14"/>
        <v>0</v>
      </c>
      <c r="O45" s="199">
        <f t="shared" si="29"/>
        <v>5.09</v>
      </c>
      <c r="P45" s="235" t="s">
        <v>155</v>
      </c>
      <c r="Q45" s="446" t="s">
        <v>156</v>
      </c>
      <c r="R45" s="446"/>
      <c r="S45" s="76"/>
      <c r="T45" s="22" t="s">
        <v>710</v>
      </c>
      <c r="U45" s="200">
        <f t="shared" si="40"/>
        <v>5.09</v>
      </c>
      <c r="V45" s="200">
        <f t="shared" si="41"/>
        <v>0.53</v>
      </c>
      <c r="W45" s="197">
        <f t="shared" si="42"/>
        <v>1.91</v>
      </c>
      <c r="X45" s="197">
        <f t="shared" si="43"/>
        <v>0</v>
      </c>
      <c r="Y45" s="197"/>
      <c r="Z45" s="201">
        <f t="shared" si="44"/>
        <v>5.59</v>
      </c>
      <c r="AA45" s="202">
        <f t="shared" si="45"/>
        <v>13.120000000000001</v>
      </c>
      <c r="AB45" s="203">
        <f t="shared" si="46"/>
        <v>3.94</v>
      </c>
      <c r="AC45" s="204">
        <f t="shared" si="47"/>
        <v>17.060000000000002</v>
      </c>
      <c r="AD45" s="205">
        <f t="shared" si="48"/>
        <v>0.9</v>
      </c>
      <c r="AE45" s="206">
        <f t="shared" si="49"/>
        <v>17.96</v>
      </c>
      <c r="AF45" s="84"/>
      <c r="AG45" s="235" t="s">
        <v>155</v>
      </c>
      <c r="AH45" s="446" t="s">
        <v>156</v>
      </c>
      <c r="AI45" s="446"/>
      <c r="AJ45" s="78" t="s">
        <v>54</v>
      </c>
      <c r="AK45" s="78"/>
      <c r="AL45" s="207">
        <f t="shared" si="17"/>
        <v>17.96</v>
      </c>
      <c r="AM45" s="207"/>
      <c r="AN45" s="207">
        <f t="shared" si="18"/>
        <v>0</v>
      </c>
      <c r="AO45" s="19"/>
      <c r="AP45" s="84"/>
      <c r="AQ45" s="235" t="s">
        <v>155</v>
      </c>
      <c r="AR45" s="446" t="s">
        <v>156</v>
      </c>
      <c r="AS45" s="446"/>
      <c r="AT45" s="29">
        <v>0</v>
      </c>
      <c r="AU45" s="214">
        <f t="shared" si="19"/>
        <v>0.0565</v>
      </c>
      <c r="AV45" s="269">
        <f t="shared" si="20"/>
        <v>0</v>
      </c>
      <c r="AW45" s="269">
        <f t="shared" si="21"/>
        <v>0</v>
      </c>
      <c r="AX45" s="198">
        <f t="shared" si="22"/>
        <v>0</v>
      </c>
      <c r="AY45" s="190">
        <v>0</v>
      </c>
      <c r="AZ45" s="214">
        <f t="shared" si="23"/>
        <v>0.0445</v>
      </c>
      <c r="BA45" s="269">
        <f t="shared" si="24"/>
        <v>0</v>
      </c>
      <c r="BB45" s="269">
        <f t="shared" si="25"/>
        <v>0</v>
      </c>
      <c r="BC45" s="198">
        <f t="shared" si="26"/>
        <v>0</v>
      </c>
      <c r="BD45" s="199">
        <f t="shared" si="27"/>
        <v>0</v>
      </c>
      <c r="BE45" s="235" t="s">
        <v>155</v>
      </c>
      <c r="BF45" s="446" t="s">
        <v>156</v>
      </c>
      <c r="BG45" s="446"/>
      <c r="BH45" s="22" t="s">
        <v>54</v>
      </c>
      <c r="BI45" s="200">
        <f t="shared" si="30"/>
        <v>0</v>
      </c>
      <c r="BJ45" s="200">
        <f t="shared" si="31"/>
        <v>0</v>
      </c>
      <c r="BK45" s="197">
        <f t="shared" si="32"/>
        <v>0</v>
      </c>
      <c r="BL45" s="197">
        <f t="shared" si="33"/>
        <v>0</v>
      </c>
      <c r="BM45" s="197"/>
      <c r="BN45" s="201">
        <f t="shared" si="34"/>
        <v>0</v>
      </c>
      <c r="BO45" s="202">
        <f t="shared" si="35"/>
        <v>0</v>
      </c>
      <c r="BP45" s="203">
        <f t="shared" si="36"/>
        <v>0</v>
      </c>
      <c r="BQ45" s="204">
        <f t="shared" si="37"/>
        <v>0</v>
      </c>
      <c r="BR45" s="205">
        <f t="shared" si="38"/>
        <v>0</v>
      </c>
      <c r="BS45" s="206">
        <f t="shared" si="39"/>
        <v>0</v>
      </c>
      <c r="BT45" s="84"/>
    </row>
    <row r="46" spans="1:72" ht="39" customHeight="1">
      <c r="A46" s="84"/>
      <c r="B46" s="235" t="s">
        <v>1008</v>
      </c>
      <c r="C46" s="236" t="s">
        <v>1009</v>
      </c>
      <c r="D46" s="78" t="s">
        <v>53</v>
      </c>
      <c r="E46" s="190">
        <v>60</v>
      </c>
      <c r="F46" s="214">
        <f t="shared" si="8"/>
        <v>0.0565</v>
      </c>
      <c r="G46" s="197">
        <f>ROUND(E46*F46,2)</f>
        <v>3.39</v>
      </c>
      <c r="H46" s="197">
        <f>ROUND(G46*($A$16+$A$17)/100,2)</f>
        <v>0</v>
      </c>
      <c r="I46" s="198">
        <f>SUM(G46:H46)</f>
        <v>3.39</v>
      </c>
      <c r="J46" s="257">
        <v>0</v>
      </c>
      <c r="K46" s="214">
        <f t="shared" si="11"/>
        <v>0.0445</v>
      </c>
      <c r="L46" s="197">
        <f>ROUND(J46*K46,2)</f>
        <v>0</v>
      </c>
      <c r="M46" s="197">
        <f>ROUND(L46*($A$16+$A$17)/100,2)</f>
        <v>0</v>
      </c>
      <c r="N46" s="198">
        <f>SUM(L46:M46)</f>
        <v>0</v>
      </c>
      <c r="O46" s="199">
        <f>SUM(I46,N46)</f>
        <v>3.39</v>
      </c>
      <c r="P46" s="235" t="s">
        <v>1008</v>
      </c>
      <c r="Q46" s="446" t="s">
        <v>1009</v>
      </c>
      <c r="R46" s="446"/>
      <c r="S46" s="76"/>
      <c r="T46" s="22" t="s">
        <v>710</v>
      </c>
      <c r="U46" s="200">
        <f>O46</f>
        <v>3.39</v>
      </c>
      <c r="V46" s="200">
        <f>ROUND(U46*$S$19,2)</f>
        <v>0.35</v>
      </c>
      <c r="W46" s="197">
        <f>ROUND(SUM(U46:V46)*$AA$19,2)</f>
        <v>1.27</v>
      </c>
      <c r="X46" s="197">
        <f>ROUND(SUM(U46:V46)*$AA$21,2)</f>
        <v>0</v>
      </c>
      <c r="Y46" s="197"/>
      <c r="Z46" s="201">
        <f>ROUND(U46*$S$20,2)</f>
        <v>3.72</v>
      </c>
      <c r="AA46" s="202">
        <f>SUM(U46:Z46)</f>
        <v>8.73</v>
      </c>
      <c r="AB46" s="203">
        <f>ROUND(AA46*$S$21,2)</f>
        <v>2.62</v>
      </c>
      <c r="AC46" s="204">
        <f>SUM(AA46:AB46)</f>
        <v>11.350000000000001</v>
      </c>
      <c r="AD46" s="205">
        <f>ROUND(AC46*$AD$19/95,2)</f>
        <v>0.6</v>
      </c>
      <c r="AE46" s="206">
        <f>SUM(AC46:AD46)</f>
        <v>11.950000000000001</v>
      </c>
      <c r="AF46" s="84"/>
      <c r="AG46" s="235" t="s">
        <v>1008</v>
      </c>
      <c r="AH46" s="446" t="s">
        <v>1009</v>
      </c>
      <c r="AI46" s="446"/>
      <c r="AJ46" s="78" t="s">
        <v>54</v>
      </c>
      <c r="AK46" s="78"/>
      <c r="AL46" s="207">
        <f>AE46</f>
        <v>11.950000000000001</v>
      </c>
      <c r="AM46" s="207"/>
      <c r="AN46" s="207">
        <f>BS46</f>
        <v>0</v>
      </c>
      <c r="AO46" s="19"/>
      <c r="AP46" s="84"/>
      <c r="AQ46" s="235" t="s">
        <v>1008</v>
      </c>
      <c r="AR46" s="446" t="s">
        <v>1009</v>
      </c>
      <c r="AS46" s="446"/>
      <c r="AT46" s="29">
        <v>0</v>
      </c>
      <c r="AU46" s="214">
        <f t="shared" si="19"/>
        <v>0.0565</v>
      </c>
      <c r="AV46" s="269">
        <f>ROUND(AT46*AU46,2)</f>
        <v>0</v>
      </c>
      <c r="AW46" s="269">
        <f>ROUND(AV46*($A$16+$A$17)/100,2)</f>
        <v>0</v>
      </c>
      <c r="AX46" s="198">
        <f>SUM(AV46:AW46)</f>
        <v>0</v>
      </c>
      <c r="AY46" s="190">
        <v>0</v>
      </c>
      <c r="AZ46" s="214">
        <f t="shared" si="23"/>
        <v>0.0445</v>
      </c>
      <c r="BA46" s="269">
        <f>ROUND(AY46*AZ46,2)</f>
        <v>0</v>
      </c>
      <c r="BB46" s="269">
        <f>ROUND(BA46*($A$16+$A$17)/100,2)</f>
        <v>0</v>
      </c>
      <c r="BC46" s="198">
        <f>SUM(BA46:BB46)</f>
        <v>0</v>
      </c>
      <c r="BD46" s="199">
        <f>SUM(AX46,BC46)</f>
        <v>0</v>
      </c>
      <c r="BE46" s="235" t="s">
        <v>1008</v>
      </c>
      <c r="BF46" s="446" t="s">
        <v>1009</v>
      </c>
      <c r="BG46" s="446"/>
      <c r="BH46" s="22" t="s">
        <v>54</v>
      </c>
      <c r="BI46" s="200">
        <f>BD46</f>
        <v>0</v>
      </c>
      <c r="BJ46" s="200">
        <f>ROUND(BI46*$S$19,2)</f>
        <v>0</v>
      </c>
      <c r="BK46" s="197">
        <f>ROUND(SUM(BI46:BJ46)*$AA$19,2)</f>
        <v>0</v>
      </c>
      <c r="BL46" s="197">
        <f>ROUND(SUM(BI46:BJ46)*$AA$21,2)</f>
        <v>0</v>
      </c>
      <c r="BM46" s="197"/>
      <c r="BN46" s="201">
        <f>ROUND(BI46*$S$20,2)</f>
        <v>0</v>
      </c>
      <c r="BO46" s="202">
        <f>SUM(BI46:BN46)</f>
        <v>0</v>
      </c>
      <c r="BP46" s="203">
        <f>ROUND(BO46*$S$21,2)</f>
        <v>0</v>
      </c>
      <c r="BQ46" s="204">
        <f>SUM(BO46:BP46)</f>
        <v>0</v>
      </c>
      <c r="BR46" s="205">
        <f>ROUND(BQ46*$AD$19/95,2)</f>
        <v>0</v>
      </c>
      <c r="BS46" s="206">
        <f>SUM(BQ46:BR46)</f>
        <v>0</v>
      </c>
      <c r="BT46" s="84"/>
    </row>
    <row r="47" spans="1:72" ht="18" customHeight="1">
      <c r="A47" s="84"/>
      <c r="B47" s="233" t="s">
        <v>157</v>
      </c>
      <c r="C47" s="234" t="s">
        <v>158</v>
      </c>
      <c r="D47" s="251"/>
      <c r="E47" s="252"/>
      <c r="F47" s="252"/>
      <c r="G47" s="253"/>
      <c r="H47" s="253"/>
      <c r="I47" s="254"/>
      <c r="J47" s="252"/>
      <c r="K47" s="252"/>
      <c r="L47" s="253"/>
      <c r="M47" s="253"/>
      <c r="N47" s="254"/>
      <c r="O47" s="220"/>
      <c r="P47" s="233" t="s">
        <v>157</v>
      </c>
      <c r="Q47" s="442" t="s">
        <v>158</v>
      </c>
      <c r="R47" s="442"/>
      <c r="S47" s="76"/>
      <c r="T47" s="219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20"/>
      <c r="AF47" s="84"/>
      <c r="AG47" s="233" t="s">
        <v>157</v>
      </c>
      <c r="AH47" s="442" t="s">
        <v>158</v>
      </c>
      <c r="AI47" s="442"/>
      <c r="AJ47" s="78"/>
      <c r="AK47" s="78"/>
      <c r="AL47" s="207"/>
      <c r="AM47" s="207"/>
      <c r="AN47" s="207"/>
      <c r="AO47" s="19"/>
      <c r="AP47" s="84"/>
      <c r="AQ47" s="233" t="s">
        <v>157</v>
      </c>
      <c r="AR47" s="442" t="s">
        <v>158</v>
      </c>
      <c r="AS47" s="442"/>
      <c r="AT47" s="29"/>
      <c r="AU47" s="256"/>
      <c r="AV47" s="254"/>
      <c r="AW47" s="254"/>
      <c r="AX47" s="254"/>
      <c r="AY47" s="255"/>
      <c r="AZ47" s="256"/>
      <c r="BA47" s="254"/>
      <c r="BB47" s="254"/>
      <c r="BC47" s="254"/>
      <c r="BD47" s="220"/>
      <c r="BE47" s="233" t="s">
        <v>157</v>
      </c>
      <c r="BF47" s="442" t="s">
        <v>158</v>
      </c>
      <c r="BG47" s="442"/>
      <c r="BH47" s="219"/>
      <c r="BI47" s="253"/>
      <c r="BJ47" s="253"/>
      <c r="BK47" s="253"/>
      <c r="BL47" s="253"/>
      <c r="BM47" s="253"/>
      <c r="BN47" s="253"/>
      <c r="BO47" s="253"/>
      <c r="BP47" s="253"/>
      <c r="BQ47" s="253"/>
      <c r="BR47" s="253"/>
      <c r="BS47" s="220"/>
      <c r="BT47" s="84"/>
    </row>
    <row r="48" spans="1:72" ht="52.5" customHeight="1">
      <c r="A48" s="84"/>
      <c r="B48" s="235" t="s">
        <v>159</v>
      </c>
      <c r="C48" s="236" t="s">
        <v>160</v>
      </c>
      <c r="D48" s="78" t="s">
        <v>53</v>
      </c>
      <c r="E48" s="307">
        <v>180</v>
      </c>
      <c r="F48" s="214">
        <f aca="true" t="shared" si="50" ref="F48:F53">$G$17</f>
        <v>0.0565</v>
      </c>
      <c r="G48" s="197">
        <f aca="true" t="shared" si="51" ref="G48:G53">ROUND(E48*F48,2)</f>
        <v>10.17</v>
      </c>
      <c r="H48" s="197">
        <f aca="true" t="shared" si="52" ref="H48:H53">ROUND(G48*($A$16+$A$17)/100,2)</f>
        <v>0</v>
      </c>
      <c r="I48" s="198">
        <f aca="true" t="shared" si="53" ref="I48:I53">SUM(G48:H48)</f>
        <v>10.17</v>
      </c>
      <c r="J48" s="257">
        <v>0</v>
      </c>
      <c r="K48" s="214">
        <f aca="true" t="shared" si="54" ref="K48:K53">$G$21</f>
        <v>0.0445</v>
      </c>
      <c r="L48" s="197">
        <f aca="true" t="shared" si="55" ref="L48:L53">ROUND(J48*K48,2)</f>
        <v>0</v>
      </c>
      <c r="M48" s="197">
        <f aca="true" t="shared" si="56" ref="M48:M53">ROUND(L48*($A$16+$A$17)/100,2)</f>
        <v>0</v>
      </c>
      <c r="N48" s="198">
        <f aca="true" t="shared" si="57" ref="N48:N53">SUM(L48:M48)</f>
        <v>0</v>
      </c>
      <c r="O48" s="199">
        <f aca="true" t="shared" si="58" ref="O48:O53">SUM(I48,N48)</f>
        <v>10.17</v>
      </c>
      <c r="P48" s="235" t="s">
        <v>159</v>
      </c>
      <c r="Q48" s="446" t="s">
        <v>160</v>
      </c>
      <c r="R48" s="446"/>
      <c r="S48" s="76"/>
      <c r="T48" s="22" t="s">
        <v>710</v>
      </c>
      <c r="U48" s="200">
        <f t="shared" si="40"/>
        <v>10.17</v>
      </c>
      <c r="V48" s="200">
        <f t="shared" si="41"/>
        <v>1.05</v>
      </c>
      <c r="W48" s="197">
        <f t="shared" si="42"/>
        <v>3.81</v>
      </c>
      <c r="X48" s="197">
        <f t="shared" si="43"/>
        <v>0.01</v>
      </c>
      <c r="Y48" s="197"/>
      <c r="Z48" s="201">
        <f t="shared" si="44"/>
        <v>11.16</v>
      </c>
      <c r="AA48" s="202">
        <f t="shared" si="45"/>
        <v>26.200000000000003</v>
      </c>
      <c r="AB48" s="203">
        <f t="shared" si="46"/>
        <v>7.86</v>
      </c>
      <c r="AC48" s="204">
        <f t="shared" si="47"/>
        <v>34.06</v>
      </c>
      <c r="AD48" s="205">
        <f t="shared" si="48"/>
        <v>1.79</v>
      </c>
      <c r="AE48" s="206">
        <f t="shared" si="49"/>
        <v>35.85</v>
      </c>
      <c r="AF48" s="84"/>
      <c r="AG48" s="235" t="s">
        <v>159</v>
      </c>
      <c r="AH48" s="446" t="s">
        <v>160</v>
      </c>
      <c r="AI48" s="446"/>
      <c r="AJ48" s="78"/>
      <c r="AK48" s="78"/>
      <c r="AL48" s="207">
        <f t="shared" si="17"/>
        <v>35.85</v>
      </c>
      <c r="AM48" s="207"/>
      <c r="AN48" s="207">
        <f t="shared" si="18"/>
        <v>0</v>
      </c>
      <c r="AO48" s="19"/>
      <c r="AP48" s="84"/>
      <c r="AQ48" s="235" t="s">
        <v>159</v>
      </c>
      <c r="AR48" s="446" t="s">
        <v>160</v>
      </c>
      <c r="AS48" s="446"/>
      <c r="AT48" s="29">
        <v>0</v>
      </c>
      <c r="AU48" s="214">
        <f t="shared" si="19"/>
        <v>0.0565</v>
      </c>
      <c r="AV48" s="269">
        <f t="shared" si="20"/>
        <v>0</v>
      </c>
      <c r="AW48" s="269">
        <f t="shared" si="21"/>
        <v>0</v>
      </c>
      <c r="AX48" s="198">
        <f t="shared" si="22"/>
        <v>0</v>
      </c>
      <c r="AY48" s="190">
        <v>0</v>
      </c>
      <c r="AZ48" s="214">
        <f t="shared" si="23"/>
        <v>0.0445</v>
      </c>
      <c r="BA48" s="269">
        <f t="shared" si="24"/>
        <v>0</v>
      </c>
      <c r="BB48" s="269">
        <f t="shared" si="25"/>
        <v>0</v>
      </c>
      <c r="BC48" s="198">
        <f t="shared" si="26"/>
        <v>0</v>
      </c>
      <c r="BD48" s="199">
        <f t="shared" si="27"/>
        <v>0</v>
      </c>
      <c r="BE48" s="235" t="s">
        <v>159</v>
      </c>
      <c r="BF48" s="446" t="s">
        <v>160</v>
      </c>
      <c r="BG48" s="446"/>
      <c r="BH48" s="22"/>
      <c r="BI48" s="200">
        <f t="shared" si="30"/>
        <v>0</v>
      </c>
      <c r="BJ48" s="200">
        <f t="shared" si="31"/>
        <v>0</v>
      </c>
      <c r="BK48" s="197">
        <f t="shared" si="32"/>
        <v>0</v>
      </c>
      <c r="BL48" s="197">
        <f t="shared" si="33"/>
        <v>0</v>
      </c>
      <c r="BM48" s="197"/>
      <c r="BN48" s="201">
        <f t="shared" si="34"/>
        <v>0</v>
      </c>
      <c r="BO48" s="202">
        <f t="shared" si="35"/>
        <v>0</v>
      </c>
      <c r="BP48" s="203">
        <f t="shared" si="36"/>
        <v>0</v>
      </c>
      <c r="BQ48" s="204">
        <f t="shared" si="37"/>
        <v>0</v>
      </c>
      <c r="BR48" s="205">
        <f t="shared" si="38"/>
        <v>0</v>
      </c>
      <c r="BS48" s="206">
        <f t="shared" si="39"/>
        <v>0</v>
      </c>
      <c r="BT48" s="84"/>
    </row>
    <row r="49" spans="1:72" ht="31.5" customHeight="1">
      <c r="A49" s="84"/>
      <c r="B49" s="235" t="s">
        <v>161</v>
      </c>
      <c r="C49" s="236" t="s">
        <v>162</v>
      </c>
      <c r="D49" s="78" t="s">
        <v>53</v>
      </c>
      <c r="E49" s="307">
        <v>120</v>
      </c>
      <c r="F49" s="214">
        <f t="shared" si="50"/>
        <v>0.0565</v>
      </c>
      <c r="G49" s="197">
        <f t="shared" si="51"/>
        <v>6.78</v>
      </c>
      <c r="H49" s="197">
        <f t="shared" si="52"/>
        <v>0</v>
      </c>
      <c r="I49" s="198">
        <f t="shared" si="53"/>
        <v>6.78</v>
      </c>
      <c r="J49" s="257">
        <v>0</v>
      </c>
      <c r="K49" s="214">
        <f t="shared" si="54"/>
        <v>0.0445</v>
      </c>
      <c r="L49" s="197">
        <f t="shared" si="55"/>
        <v>0</v>
      </c>
      <c r="M49" s="197">
        <f t="shared" si="56"/>
        <v>0</v>
      </c>
      <c r="N49" s="198">
        <f t="shared" si="57"/>
        <v>0</v>
      </c>
      <c r="O49" s="199">
        <f t="shared" si="58"/>
        <v>6.78</v>
      </c>
      <c r="P49" s="235" t="s">
        <v>161</v>
      </c>
      <c r="Q49" s="446" t="s">
        <v>162</v>
      </c>
      <c r="R49" s="446"/>
      <c r="S49" s="76"/>
      <c r="T49" s="22" t="s">
        <v>710</v>
      </c>
      <c r="U49" s="200">
        <f t="shared" si="40"/>
        <v>6.78</v>
      </c>
      <c r="V49" s="200">
        <f t="shared" si="41"/>
        <v>0.7</v>
      </c>
      <c r="W49" s="197">
        <f t="shared" si="42"/>
        <v>2.54</v>
      </c>
      <c r="X49" s="197">
        <f t="shared" si="43"/>
        <v>0.01</v>
      </c>
      <c r="Y49" s="197"/>
      <c r="Z49" s="201">
        <f t="shared" si="44"/>
        <v>7.44</v>
      </c>
      <c r="AA49" s="202">
        <f t="shared" si="45"/>
        <v>17.47</v>
      </c>
      <c r="AB49" s="203">
        <f t="shared" si="46"/>
        <v>5.24</v>
      </c>
      <c r="AC49" s="204">
        <f t="shared" si="47"/>
        <v>22.71</v>
      </c>
      <c r="AD49" s="205">
        <f t="shared" si="48"/>
        <v>1.2</v>
      </c>
      <c r="AE49" s="206">
        <f t="shared" si="49"/>
        <v>23.91</v>
      </c>
      <c r="AF49" s="84"/>
      <c r="AG49" s="235" t="s">
        <v>161</v>
      </c>
      <c r="AH49" s="446" t="s">
        <v>162</v>
      </c>
      <c r="AI49" s="446"/>
      <c r="AJ49" s="78" t="s">
        <v>54</v>
      </c>
      <c r="AK49" s="78"/>
      <c r="AL49" s="207">
        <f t="shared" si="17"/>
        <v>23.91</v>
      </c>
      <c r="AM49" s="207"/>
      <c r="AN49" s="207">
        <f t="shared" si="18"/>
        <v>0</v>
      </c>
      <c r="AO49" s="19"/>
      <c r="AP49" s="84"/>
      <c r="AQ49" s="235" t="s">
        <v>161</v>
      </c>
      <c r="AR49" s="446" t="s">
        <v>162</v>
      </c>
      <c r="AS49" s="446"/>
      <c r="AT49" s="29">
        <v>0</v>
      </c>
      <c r="AU49" s="214">
        <f t="shared" si="19"/>
        <v>0.0565</v>
      </c>
      <c r="AV49" s="269">
        <f t="shared" si="20"/>
        <v>0</v>
      </c>
      <c r="AW49" s="269">
        <f t="shared" si="21"/>
        <v>0</v>
      </c>
      <c r="AX49" s="198">
        <f t="shared" si="22"/>
        <v>0</v>
      </c>
      <c r="AY49" s="190">
        <v>0</v>
      </c>
      <c r="AZ49" s="214">
        <f t="shared" si="23"/>
        <v>0.0445</v>
      </c>
      <c r="BA49" s="269">
        <f t="shared" si="24"/>
        <v>0</v>
      </c>
      <c r="BB49" s="269">
        <f t="shared" si="25"/>
        <v>0</v>
      </c>
      <c r="BC49" s="198">
        <f t="shared" si="26"/>
        <v>0</v>
      </c>
      <c r="BD49" s="199">
        <f t="shared" si="27"/>
        <v>0</v>
      </c>
      <c r="BE49" s="235" t="s">
        <v>161</v>
      </c>
      <c r="BF49" s="446" t="s">
        <v>162</v>
      </c>
      <c r="BG49" s="446"/>
      <c r="BH49" s="22" t="s">
        <v>54</v>
      </c>
      <c r="BI49" s="200">
        <f t="shared" si="30"/>
        <v>0</v>
      </c>
      <c r="BJ49" s="200">
        <f t="shared" si="31"/>
        <v>0</v>
      </c>
      <c r="BK49" s="197">
        <f t="shared" si="32"/>
        <v>0</v>
      </c>
      <c r="BL49" s="197">
        <f t="shared" si="33"/>
        <v>0</v>
      </c>
      <c r="BM49" s="197"/>
      <c r="BN49" s="201">
        <f t="shared" si="34"/>
        <v>0</v>
      </c>
      <c r="BO49" s="202">
        <f t="shared" si="35"/>
        <v>0</v>
      </c>
      <c r="BP49" s="203">
        <f t="shared" si="36"/>
        <v>0</v>
      </c>
      <c r="BQ49" s="204">
        <f t="shared" si="37"/>
        <v>0</v>
      </c>
      <c r="BR49" s="205">
        <f t="shared" si="38"/>
        <v>0</v>
      </c>
      <c r="BS49" s="206">
        <f t="shared" si="39"/>
        <v>0</v>
      </c>
      <c r="BT49" s="84"/>
    </row>
    <row r="50" spans="1:72" ht="39" customHeight="1">
      <c r="A50" s="84"/>
      <c r="B50" s="235" t="s">
        <v>163</v>
      </c>
      <c r="C50" s="236" t="s">
        <v>164</v>
      </c>
      <c r="D50" s="78" t="s">
        <v>53</v>
      </c>
      <c r="E50" s="307">
        <v>60</v>
      </c>
      <c r="F50" s="214">
        <f t="shared" si="50"/>
        <v>0.0565</v>
      </c>
      <c r="G50" s="197">
        <f t="shared" si="51"/>
        <v>3.39</v>
      </c>
      <c r="H50" s="197">
        <f t="shared" si="52"/>
        <v>0</v>
      </c>
      <c r="I50" s="198">
        <f t="shared" si="53"/>
        <v>3.39</v>
      </c>
      <c r="J50" s="257">
        <v>0</v>
      </c>
      <c r="K50" s="214">
        <f t="shared" si="54"/>
        <v>0.0445</v>
      </c>
      <c r="L50" s="197">
        <f t="shared" si="55"/>
        <v>0</v>
      </c>
      <c r="M50" s="197">
        <f t="shared" si="56"/>
        <v>0</v>
      </c>
      <c r="N50" s="198">
        <f t="shared" si="57"/>
        <v>0</v>
      </c>
      <c r="O50" s="199">
        <f t="shared" si="58"/>
        <v>3.39</v>
      </c>
      <c r="P50" s="235" t="s">
        <v>163</v>
      </c>
      <c r="Q50" s="446" t="s">
        <v>164</v>
      </c>
      <c r="R50" s="446"/>
      <c r="S50" s="76"/>
      <c r="T50" s="22" t="s">
        <v>710</v>
      </c>
      <c r="U50" s="200">
        <f t="shared" si="40"/>
        <v>3.39</v>
      </c>
      <c r="V50" s="200">
        <f t="shared" si="41"/>
        <v>0.35</v>
      </c>
      <c r="W50" s="197">
        <f t="shared" si="42"/>
        <v>1.27</v>
      </c>
      <c r="X50" s="197">
        <f t="shared" si="43"/>
        <v>0</v>
      </c>
      <c r="Y50" s="197"/>
      <c r="Z50" s="201">
        <f t="shared" si="44"/>
        <v>3.72</v>
      </c>
      <c r="AA50" s="202">
        <f t="shared" si="45"/>
        <v>8.73</v>
      </c>
      <c r="AB50" s="203">
        <f t="shared" si="46"/>
        <v>2.62</v>
      </c>
      <c r="AC50" s="204">
        <f t="shared" si="47"/>
        <v>11.350000000000001</v>
      </c>
      <c r="AD50" s="205">
        <f t="shared" si="48"/>
        <v>0.6</v>
      </c>
      <c r="AE50" s="206">
        <f t="shared" si="49"/>
        <v>11.950000000000001</v>
      </c>
      <c r="AF50" s="84"/>
      <c r="AG50" s="235" t="s">
        <v>163</v>
      </c>
      <c r="AH50" s="446" t="s">
        <v>164</v>
      </c>
      <c r="AI50" s="446"/>
      <c r="AJ50" s="78" t="s">
        <v>54</v>
      </c>
      <c r="AK50" s="78"/>
      <c r="AL50" s="207">
        <f t="shared" si="17"/>
        <v>11.950000000000001</v>
      </c>
      <c r="AM50" s="207"/>
      <c r="AN50" s="207">
        <f t="shared" si="18"/>
        <v>0</v>
      </c>
      <c r="AO50" s="19"/>
      <c r="AP50" s="84"/>
      <c r="AQ50" s="235" t="s">
        <v>163</v>
      </c>
      <c r="AR50" s="446" t="s">
        <v>164</v>
      </c>
      <c r="AS50" s="446"/>
      <c r="AT50" s="29">
        <v>0</v>
      </c>
      <c r="AU50" s="214">
        <f t="shared" si="19"/>
        <v>0.0565</v>
      </c>
      <c r="AV50" s="269">
        <f t="shared" si="20"/>
        <v>0</v>
      </c>
      <c r="AW50" s="269">
        <f t="shared" si="21"/>
        <v>0</v>
      </c>
      <c r="AX50" s="198">
        <f t="shared" si="22"/>
        <v>0</v>
      </c>
      <c r="AY50" s="190">
        <v>0</v>
      </c>
      <c r="AZ50" s="214">
        <f t="shared" si="23"/>
        <v>0.0445</v>
      </c>
      <c r="BA50" s="269">
        <f t="shared" si="24"/>
        <v>0</v>
      </c>
      <c r="BB50" s="269">
        <f t="shared" si="25"/>
        <v>0</v>
      </c>
      <c r="BC50" s="198">
        <f t="shared" si="26"/>
        <v>0</v>
      </c>
      <c r="BD50" s="199">
        <f t="shared" si="27"/>
        <v>0</v>
      </c>
      <c r="BE50" s="235" t="s">
        <v>163</v>
      </c>
      <c r="BF50" s="446" t="s">
        <v>164</v>
      </c>
      <c r="BG50" s="446"/>
      <c r="BH50" s="22" t="s">
        <v>54</v>
      </c>
      <c r="BI50" s="200">
        <f t="shared" si="30"/>
        <v>0</v>
      </c>
      <c r="BJ50" s="200">
        <f t="shared" si="31"/>
        <v>0</v>
      </c>
      <c r="BK50" s="197">
        <f t="shared" si="32"/>
        <v>0</v>
      </c>
      <c r="BL50" s="197">
        <f t="shared" si="33"/>
        <v>0</v>
      </c>
      <c r="BM50" s="197"/>
      <c r="BN50" s="201">
        <f t="shared" si="34"/>
        <v>0</v>
      </c>
      <c r="BO50" s="202">
        <f t="shared" si="35"/>
        <v>0</v>
      </c>
      <c r="BP50" s="203">
        <f t="shared" si="36"/>
        <v>0</v>
      </c>
      <c r="BQ50" s="204">
        <f t="shared" si="37"/>
        <v>0</v>
      </c>
      <c r="BR50" s="205">
        <f t="shared" si="38"/>
        <v>0</v>
      </c>
      <c r="BS50" s="206">
        <f t="shared" si="39"/>
        <v>0</v>
      </c>
      <c r="BT50" s="84"/>
    </row>
    <row r="51" spans="1:72" ht="57" customHeight="1">
      <c r="A51" s="84"/>
      <c r="B51" s="235" t="s">
        <v>1013</v>
      </c>
      <c r="C51" s="363" t="s">
        <v>1014</v>
      </c>
      <c r="D51" s="78" t="s">
        <v>53</v>
      </c>
      <c r="E51" s="190">
        <v>20</v>
      </c>
      <c r="F51" s="214">
        <f t="shared" si="50"/>
        <v>0.0565</v>
      </c>
      <c r="G51" s="197">
        <f t="shared" si="51"/>
        <v>1.13</v>
      </c>
      <c r="H51" s="197">
        <f t="shared" si="52"/>
        <v>0</v>
      </c>
      <c r="I51" s="198">
        <f t="shared" si="53"/>
        <v>1.13</v>
      </c>
      <c r="J51" s="257">
        <v>0</v>
      </c>
      <c r="K51" s="214">
        <f t="shared" si="54"/>
        <v>0.0445</v>
      </c>
      <c r="L51" s="197">
        <f t="shared" si="55"/>
        <v>0</v>
      </c>
      <c r="M51" s="197">
        <f t="shared" si="56"/>
        <v>0</v>
      </c>
      <c r="N51" s="198">
        <f t="shared" si="57"/>
        <v>0</v>
      </c>
      <c r="O51" s="199">
        <f t="shared" si="58"/>
        <v>1.13</v>
      </c>
      <c r="P51" s="235" t="s">
        <v>1013</v>
      </c>
      <c r="Q51" s="446" t="s">
        <v>1014</v>
      </c>
      <c r="R51" s="446"/>
      <c r="S51" s="76"/>
      <c r="T51" s="22" t="s">
        <v>710</v>
      </c>
      <c r="U51" s="200">
        <f t="shared" si="40"/>
        <v>1.13</v>
      </c>
      <c r="V51" s="200">
        <f t="shared" si="41"/>
        <v>0.12</v>
      </c>
      <c r="W51" s="197">
        <f t="shared" si="42"/>
        <v>0.43</v>
      </c>
      <c r="X51" s="197">
        <f t="shared" si="43"/>
        <v>0</v>
      </c>
      <c r="Y51" s="197"/>
      <c r="Z51" s="201">
        <f t="shared" si="44"/>
        <v>1.24</v>
      </c>
      <c r="AA51" s="202">
        <f t="shared" si="45"/>
        <v>2.92</v>
      </c>
      <c r="AB51" s="203">
        <f t="shared" si="46"/>
        <v>0.88</v>
      </c>
      <c r="AC51" s="204">
        <f t="shared" si="47"/>
        <v>3.8</v>
      </c>
      <c r="AD51" s="205">
        <f t="shared" si="48"/>
        <v>0.2</v>
      </c>
      <c r="AE51" s="206">
        <f t="shared" si="49"/>
        <v>4</v>
      </c>
      <c r="AF51" s="84"/>
      <c r="AG51" s="235" t="s">
        <v>1013</v>
      </c>
      <c r="AH51" s="446" t="s">
        <v>1014</v>
      </c>
      <c r="AI51" s="446"/>
      <c r="AJ51" s="78" t="s">
        <v>54</v>
      </c>
      <c r="AK51" s="78"/>
      <c r="AL51" s="207">
        <f t="shared" si="17"/>
        <v>4</v>
      </c>
      <c r="AM51" s="207"/>
      <c r="AN51" s="207">
        <f t="shared" si="18"/>
        <v>0</v>
      </c>
      <c r="AO51" s="19"/>
      <c r="AP51" s="84"/>
      <c r="AQ51" s="235" t="s">
        <v>1013</v>
      </c>
      <c r="AR51" s="446" t="s">
        <v>1014</v>
      </c>
      <c r="AS51" s="446"/>
      <c r="AT51" s="29">
        <v>0</v>
      </c>
      <c r="AU51" s="214">
        <f t="shared" si="19"/>
        <v>0.0565</v>
      </c>
      <c r="AV51" s="269">
        <f t="shared" si="20"/>
        <v>0</v>
      </c>
      <c r="AW51" s="269">
        <f t="shared" si="21"/>
        <v>0</v>
      </c>
      <c r="AX51" s="198">
        <f t="shared" si="22"/>
        <v>0</v>
      </c>
      <c r="AY51" s="190">
        <v>0</v>
      </c>
      <c r="AZ51" s="214">
        <f t="shared" si="23"/>
        <v>0.0445</v>
      </c>
      <c r="BA51" s="269">
        <f t="shared" si="24"/>
        <v>0</v>
      </c>
      <c r="BB51" s="269">
        <f t="shared" si="25"/>
        <v>0</v>
      </c>
      <c r="BC51" s="198">
        <f t="shared" si="26"/>
        <v>0</v>
      </c>
      <c r="BD51" s="199">
        <f t="shared" si="27"/>
        <v>0</v>
      </c>
      <c r="BE51" s="235" t="s">
        <v>1013</v>
      </c>
      <c r="BF51" s="446" t="s">
        <v>1014</v>
      </c>
      <c r="BG51" s="446"/>
      <c r="BH51" s="22" t="s">
        <v>54</v>
      </c>
      <c r="BI51" s="200">
        <f t="shared" si="30"/>
        <v>0</v>
      </c>
      <c r="BJ51" s="200">
        <f t="shared" si="31"/>
        <v>0</v>
      </c>
      <c r="BK51" s="197">
        <f t="shared" si="32"/>
        <v>0</v>
      </c>
      <c r="BL51" s="197">
        <f t="shared" si="33"/>
        <v>0</v>
      </c>
      <c r="BM51" s="197"/>
      <c r="BN51" s="201">
        <f t="shared" si="34"/>
        <v>0</v>
      </c>
      <c r="BO51" s="202">
        <f t="shared" si="35"/>
        <v>0</v>
      </c>
      <c r="BP51" s="203">
        <f t="shared" si="36"/>
        <v>0</v>
      </c>
      <c r="BQ51" s="204">
        <f t="shared" si="37"/>
        <v>0</v>
      </c>
      <c r="BR51" s="205">
        <f t="shared" si="38"/>
        <v>0</v>
      </c>
      <c r="BS51" s="206">
        <f t="shared" si="39"/>
        <v>0</v>
      </c>
      <c r="BT51" s="84"/>
    </row>
    <row r="52" spans="1:72" ht="55.5" customHeight="1">
      <c r="A52" s="84"/>
      <c r="B52" s="235" t="s">
        <v>167</v>
      </c>
      <c r="C52" s="236" t="s">
        <v>168</v>
      </c>
      <c r="D52" s="78" t="s">
        <v>53</v>
      </c>
      <c r="E52" s="307">
        <v>60</v>
      </c>
      <c r="F52" s="214">
        <f t="shared" si="50"/>
        <v>0.0565</v>
      </c>
      <c r="G52" s="197">
        <f t="shared" si="51"/>
        <v>3.39</v>
      </c>
      <c r="H52" s="197">
        <f t="shared" si="52"/>
        <v>0</v>
      </c>
      <c r="I52" s="198">
        <f t="shared" si="53"/>
        <v>3.39</v>
      </c>
      <c r="J52" s="257">
        <v>0</v>
      </c>
      <c r="K52" s="214">
        <f t="shared" si="54"/>
        <v>0.0445</v>
      </c>
      <c r="L52" s="197">
        <f t="shared" si="55"/>
        <v>0</v>
      </c>
      <c r="M52" s="197">
        <f t="shared" si="56"/>
        <v>0</v>
      </c>
      <c r="N52" s="198">
        <f t="shared" si="57"/>
        <v>0</v>
      </c>
      <c r="O52" s="199">
        <f t="shared" si="58"/>
        <v>3.39</v>
      </c>
      <c r="P52" s="235" t="s">
        <v>167</v>
      </c>
      <c r="Q52" s="446" t="s">
        <v>168</v>
      </c>
      <c r="R52" s="446"/>
      <c r="S52" s="76"/>
      <c r="T52" s="22" t="s">
        <v>710</v>
      </c>
      <c r="U52" s="200">
        <f t="shared" si="40"/>
        <v>3.39</v>
      </c>
      <c r="V52" s="200">
        <f t="shared" si="41"/>
        <v>0.35</v>
      </c>
      <c r="W52" s="197">
        <f t="shared" si="42"/>
        <v>1.27</v>
      </c>
      <c r="X52" s="197">
        <f t="shared" si="43"/>
        <v>0</v>
      </c>
      <c r="Y52" s="197"/>
      <c r="Z52" s="201">
        <f t="shared" si="44"/>
        <v>3.72</v>
      </c>
      <c r="AA52" s="202">
        <f t="shared" si="45"/>
        <v>8.73</v>
      </c>
      <c r="AB52" s="203">
        <f t="shared" si="46"/>
        <v>2.62</v>
      </c>
      <c r="AC52" s="204">
        <f t="shared" si="47"/>
        <v>11.350000000000001</v>
      </c>
      <c r="AD52" s="205">
        <f t="shared" si="48"/>
        <v>0.6</v>
      </c>
      <c r="AE52" s="206">
        <f t="shared" si="49"/>
        <v>11.950000000000001</v>
      </c>
      <c r="AF52" s="84"/>
      <c r="AG52" s="235" t="s">
        <v>167</v>
      </c>
      <c r="AH52" s="446" t="s">
        <v>168</v>
      </c>
      <c r="AI52" s="446"/>
      <c r="AJ52" s="78" t="s">
        <v>54</v>
      </c>
      <c r="AK52" s="78"/>
      <c r="AL52" s="207">
        <f t="shared" si="17"/>
        <v>11.950000000000001</v>
      </c>
      <c r="AM52" s="207"/>
      <c r="AN52" s="207">
        <f t="shared" si="18"/>
        <v>0</v>
      </c>
      <c r="AO52" s="19"/>
      <c r="AP52" s="84"/>
      <c r="AQ52" s="235" t="s">
        <v>167</v>
      </c>
      <c r="AR52" s="446" t="s">
        <v>168</v>
      </c>
      <c r="AS52" s="446"/>
      <c r="AT52" s="29">
        <v>0</v>
      </c>
      <c r="AU52" s="214">
        <f t="shared" si="19"/>
        <v>0.0565</v>
      </c>
      <c r="AV52" s="269">
        <f t="shared" si="20"/>
        <v>0</v>
      </c>
      <c r="AW52" s="269">
        <f t="shared" si="21"/>
        <v>0</v>
      </c>
      <c r="AX52" s="198">
        <f t="shared" si="22"/>
        <v>0</v>
      </c>
      <c r="AY52" s="190">
        <v>0</v>
      </c>
      <c r="AZ52" s="214">
        <f t="shared" si="23"/>
        <v>0.0445</v>
      </c>
      <c r="BA52" s="269">
        <f t="shared" si="24"/>
        <v>0</v>
      </c>
      <c r="BB52" s="269">
        <f t="shared" si="25"/>
        <v>0</v>
      </c>
      <c r="BC52" s="198">
        <f t="shared" si="26"/>
        <v>0</v>
      </c>
      <c r="BD52" s="199">
        <f t="shared" si="27"/>
        <v>0</v>
      </c>
      <c r="BE52" s="235" t="s">
        <v>167</v>
      </c>
      <c r="BF52" s="446" t="s">
        <v>168</v>
      </c>
      <c r="BG52" s="446"/>
      <c r="BH52" s="22" t="s">
        <v>54</v>
      </c>
      <c r="BI52" s="200">
        <f t="shared" si="30"/>
        <v>0</v>
      </c>
      <c r="BJ52" s="200">
        <f t="shared" si="31"/>
        <v>0</v>
      </c>
      <c r="BK52" s="197">
        <f t="shared" si="32"/>
        <v>0</v>
      </c>
      <c r="BL52" s="197">
        <f t="shared" si="33"/>
        <v>0</v>
      </c>
      <c r="BM52" s="197"/>
      <c r="BN52" s="201">
        <f t="shared" si="34"/>
        <v>0</v>
      </c>
      <c r="BO52" s="202">
        <f t="shared" si="35"/>
        <v>0</v>
      </c>
      <c r="BP52" s="203">
        <f t="shared" si="36"/>
        <v>0</v>
      </c>
      <c r="BQ52" s="204">
        <f t="shared" si="37"/>
        <v>0</v>
      </c>
      <c r="BR52" s="205">
        <f t="shared" si="38"/>
        <v>0</v>
      </c>
      <c r="BS52" s="206">
        <f t="shared" si="39"/>
        <v>0</v>
      </c>
      <c r="BT52" s="84"/>
    </row>
    <row r="53" spans="1:72" ht="54" customHeight="1">
      <c r="A53" s="84"/>
      <c r="B53" s="235" t="s">
        <v>169</v>
      </c>
      <c r="C53" s="236" t="s">
        <v>170</v>
      </c>
      <c r="D53" s="78" t="s">
        <v>53</v>
      </c>
      <c r="E53" s="307">
        <v>30</v>
      </c>
      <c r="F53" s="214">
        <f t="shared" si="50"/>
        <v>0.0565</v>
      </c>
      <c r="G53" s="197">
        <f t="shared" si="51"/>
        <v>1.7</v>
      </c>
      <c r="H53" s="197">
        <f t="shared" si="52"/>
        <v>0</v>
      </c>
      <c r="I53" s="198">
        <f t="shared" si="53"/>
        <v>1.7</v>
      </c>
      <c r="J53" s="257">
        <v>0</v>
      </c>
      <c r="K53" s="214">
        <f t="shared" si="54"/>
        <v>0.0445</v>
      </c>
      <c r="L53" s="197">
        <f t="shared" si="55"/>
        <v>0</v>
      </c>
      <c r="M53" s="197">
        <f t="shared" si="56"/>
        <v>0</v>
      </c>
      <c r="N53" s="198">
        <f t="shared" si="57"/>
        <v>0</v>
      </c>
      <c r="O53" s="199">
        <f t="shared" si="58"/>
        <v>1.7</v>
      </c>
      <c r="P53" s="235" t="s">
        <v>169</v>
      </c>
      <c r="Q53" s="446" t="s">
        <v>170</v>
      </c>
      <c r="R53" s="446"/>
      <c r="S53" s="76"/>
      <c r="T53" s="22" t="s">
        <v>710</v>
      </c>
      <c r="U53" s="200">
        <f t="shared" si="40"/>
        <v>1.7</v>
      </c>
      <c r="V53" s="200">
        <f t="shared" si="41"/>
        <v>0.18</v>
      </c>
      <c r="W53" s="197">
        <f t="shared" si="42"/>
        <v>0.64</v>
      </c>
      <c r="X53" s="197">
        <f t="shared" si="43"/>
        <v>0</v>
      </c>
      <c r="Y53" s="197"/>
      <c r="Z53" s="201">
        <f t="shared" si="44"/>
        <v>1.87</v>
      </c>
      <c r="AA53" s="202">
        <f t="shared" si="45"/>
        <v>4.390000000000001</v>
      </c>
      <c r="AB53" s="203">
        <f t="shared" si="46"/>
        <v>1.32</v>
      </c>
      <c r="AC53" s="204">
        <f t="shared" si="47"/>
        <v>5.710000000000001</v>
      </c>
      <c r="AD53" s="205">
        <f t="shared" si="48"/>
        <v>0.3</v>
      </c>
      <c r="AE53" s="206">
        <f t="shared" si="49"/>
        <v>6.010000000000001</v>
      </c>
      <c r="AF53" s="84"/>
      <c r="AG53" s="235" t="s">
        <v>169</v>
      </c>
      <c r="AH53" s="446" t="s">
        <v>170</v>
      </c>
      <c r="AI53" s="446"/>
      <c r="AJ53" s="78"/>
      <c r="AK53" s="78"/>
      <c r="AL53" s="207">
        <f t="shared" si="17"/>
        <v>6.010000000000001</v>
      </c>
      <c r="AM53" s="207"/>
      <c r="AN53" s="207">
        <f t="shared" si="18"/>
        <v>2.01</v>
      </c>
      <c r="AO53" s="19"/>
      <c r="AP53" s="84"/>
      <c r="AQ53" s="235" t="s">
        <v>169</v>
      </c>
      <c r="AR53" s="446" t="s">
        <v>170</v>
      </c>
      <c r="AS53" s="446"/>
      <c r="AT53" s="29">
        <v>10</v>
      </c>
      <c r="AU53" s="214">
        <f t="shared" si="19"/>
        <v>0.0565</v>
      </c>
      <c r="AV53" s="269">
        <f t="shared" si="20"/>
        <v>0.57</v>
      </c>
      <c r="AW53" s="269">
        <f t="shared" si="21"/>
        <v>0</v>
      </c>
      <c r="AX53" s="198">
        <f t="shared" si="22"/>
        <v>0.57</v>
      </c>
      <c r="AY53" s="307"/>
      <c r="AZ53" s="214">
        <f t="shared" si="23"/>
        <v>0.0445</v>
      </c>
      <c r="BA53" s="269">
        <f t="shared" si="24"/>
        <v>0</v>
      </c>
      <c r="BB53" s="269">
        <f t="shared" si="25"/>
        <v>0</v>
      </c>
      <c r="BC53" s="198">
        <f t="shared" si="26"/>
        <v>0</v>
      </c>
      <c r="BD53" s="199">
        <f t="shared" si="27"/>
        <v>0.57</v>
      </c>
      <c r="BE53" s="235" t="s">
        <v>169</v>
      </c>
      <c r="BF53" s="446" t="s">
        <v>170</v>
      </c>
      <c r="BG53" s="446"/>
      <c r="BH53" s="22"/>
      <c r="BI53" s="200">
        <f t="shared" si="30"/>
        <v>0.57</v>
      </c>
      <c r="BJ53" s="200">
        <f t="shared" si="31"/>
        <v>0.06</v>
      </c>
      <c r="BK53" s="197">
        <f t="shared" si="32"/>
        <v>0.21</v>
      </c>
      <c r="BL53" s="197">
        <f t="shared" si="33"/>
        <v>0</v>
      </c>
      <c r="BM53" s="197"/>
      <c r="BN53" s="201">
        <f t="shared" si="34"/>
        <v>0.63</v>
      </c>
      <c r="BO53" s="202">
        <f t="shared" si="35"/>
        <v>1.4699999999999998</v>
      </c>
      <c r="BP53" s="203">
        <f t="shared" si="36"/>
        <v>0.44</v>
      </c>
      <c r="BQ53" s="204">
        <f t="shared" si="37"/>
        <v>1.9099999999999997</v>
      </c>
      <c r="BR53" s="205">
        <f t="shared" si="38"/>
        <v>0.1</v>
      </c>
      <c r="BS53" s="206">
        <f t="shared" si="39"/>
        <v>2.01</v>
      </c>
      <c r="BT53" s="84"/>
    </row>
    <row r="54" spans="1:72" ht="52.5" customHeight="1">
      <c r="A54" s="84"/>
      <c r="B54" s="233" t="s">
        <v>171</v>
      </c>
      <c r="C54" s="234" t="s">
        <v>172</v>
      </c>
      <c r="D54" s="251"/>
      <c r="E54" s="255"/>
      <c r="F54" s="256"/>
      <c r="G54" s="253"/>
      <c r="H54" s="253"/>
      <c r="I54" s="254"/>
      <c r="J54" s="257"/>
      <c r="K54" s="255"/>
      <c r="L54" s="253"/>
      <c r="M54" s="253"/>
      <c r="N54" s="254"/>
      <c r="O54" s="220"/>
      <c r="P54" s="233" t="s">
        <v>171</v>
      </c>
      <c r="Q54" s="442" t="s">
        <v>172</v>
      </c>
      <c r="R54" s="442"/>
      <c r="S54" s="76"/>
      <c r="T54" s="219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20"/>
      <c r="AF54" s="84"/>
      <c r="AG54" s="233" t="s">
        <v>171</v>
      </c>
      <c r="AH54" s="442" t="s">
        <v>172</v>
      </c>
      <c r="AI54" s="442"/>
      <c r="AJ54" s="78"/>
      <c r="AK54" s="78"/>
      <c r="AL54" s="207"/>
      <c r="AM54" s="207"/>
      <c r="AN54" s="207"/>
      <c r="AO54" s="19"/>
      <c r="AP54" s="84"/>
      <c r="AQ54" s="233" t="s">
        <v>171</v>
      </c>
      <c r="AR54" s="442" t="s">
        <v>172</v>
      </c>
      <c r="AS54" s="442"/>
      <c r="AT54" s="29"/>
      <c r="AU54" s="256"/>
      <c r="AV54" s="254"/>
      <c r="AW54" s="254"/>
      <c r="AX54" s="254"/>
      <c r="AY54" s="255"/>
      <c r="AZ54" s="256"/>
      <c r="BA54" s="254"/>
      <c r="BB54" s="254"/>
      <c r="BC54" s="254"/>
      <c r="BD54" s="220"/>
      <c r="BE54" s="233" t="s">
        <v>171</v>
      </c>
      <c r="BF54" s="442" t="s">
        <v>172</v>
      </c>
      <c r="BG54" s="442"/>
      <c r="BH54" s="219"/>
      <c r="BI54" s="253"/>
      <c r="BJ54" s="253"/>
      <c r="BK54" s="253"/>
      <c r="BL54" s="253"/>
      <c r="BM54" s="253"/>
      <c r="BN54" s="253"/>
      <c r="BO54" s="253"/>
      <c r="BP54" s="253"/>
      <c r="BQ54" s="253"/>
      <c r="BR54" s="253"/>
      <c r="BS54" s="220"/>
      <c r="BT54" s="84"/>
    </row>
    <row r="55" spans="1:72" ht="21" customHeight="1">
      <c r="A55" s="84"/>
      <c r="B55" s="235" t="s">
        <v>173</v>
      </c>
      <c r="C55" s="236" t="s">
        <v>174</v>
      </c>
      <c r="D55" s="78" t="s">
        <v>53</v>
      </c>
      <c r="E55" s="307">
        <v>60</v>
      </c>
      <c r="F55" s="214">
        <f>$G$17</f>
        <v>0.0565</v>
      </c>
      <c r="G55" s="197">
        <f>ROUND(E55*F55,2)</f>
        <v>3.39</v>
      </c>
      <c r="H55" s="197">
        <f>ROUND(G55*($A$16+$A$17)/100,2)</f>
        <v>0</v>
      </c>
      <c r="I55" s="198">
        <f>SUM(G55:H55)</f>
        <v>3.39</v>
      </c>
      <c r="J55" s="257"/>
      <c r="K55" s="214">
        <f>$G$21</f>
        <v>0.0445</v>
      </c>
      <c r="L55" s="197">
        <f>ROUND(J55*K55,2)</f>
        <v>0</v>
      </c>
      <c r="M55" s="197">
        <f>ROUND(L55*($A$16+$A$17)/100,2)</f>
        <v>0</v>
      </c>
      <c r="N55" s="198">
        <f>SUM(L55:M55)</f>
        <v>0</v>
      </c>
      <c r="O55" s="199">
        <f>SUM(I55,N55)</f>
        <v>3.39</v>
      </c>
      <c r="P55" s="235" t="s">
        <v>173</v>
      </c>
      <c r="Q55" s="446" t="s">
        <v>174</v>
      </c>
      <c r="R55" s="446"/>
      <c r="S55" s="76"/>
      <c r="T55" s="22" t="s">
        <v>711</v>
      </c>
      <c r="U55" s="200">
        <f t="shared" si="40"/>
        <v>3.39</v>
      </c>
      <c r="V55" s="200">
        <f t="shared" si="41"/>
        <v>0.35</v>
      </c>
      <c r="W55" s="197">
        <f t="shared" si="42"/>
        <v>1.27</v>
      </c>
      <c r="X55" s="197">
        <f t="shared" si="43"/>
        <v>0</v>
      </c>
      <c r="Y55" s="197"/>
      <c r="Z55" s="201">
        <f t="shared" si="44"/>
        <v>3.72</v>
      </c>
      <c r="AA55" s="202">
        <f t="shared" si="45"/>
        <v>8.73</v>
      </c>
      <c r="AB55" s="203">
        <f t="shared" si="46"/>
        <v>2.62</v>
      </c>
      <c r="AC55" s="204">
        <f t="shared" si="47"/>
        <v>11.350000000000001</v>
      </c>
      <c r="AD55" s="205">
        <f t="shared" si="48"/>
        <v>0.6</v>
      </c>
      <c r="AE55" s="206">
        <f t="shared" si="49"/>
        <v>11.950000000000001</v>
      </c>
      <c r="AF55" s="84"/>
      <c r="AG55" s="235" t="s">
        <v>173</v>
      </c>
      <c r="AH55" s="446" t="s">
        <v>174</v>
      </c>
      <c r="AI55" s="446"/>
      <c r="AJ55" s="78" t="s">
        <v>54</v>
      </c>
      <c r="AK55" s="78"/>
      <c r="AL55" s="207">
        <f t="shared" si="17"/>
        <v>11.950000000000001</v>
      </c>
      <c r="AM55" s="207"/>
      <c r="AN55" s="207">
        <f t="shared" si="18"/>
        <v>0</v>
      </c>
      <c r="AO55" s="19"/>
      <c r="AP55" s="84"/>
      <c r="AQ55" s="235" t="s">
        <v>173</v>
      </c>
      <c r="AR55" s="446" t="s">
        <v>174</v>
      </c>
      <c r="AS55" s="446"/>
      <c r="AT55" s="29">
        <v>0</v>
      </c>
      <c r="AU55" s="214">
        <f t="shared" si="19"/>
        <v>0.0565</v>
      </c>
      <c r="AV55" s="269">
        <f t="shared" si="20"/>
        <v>0</v>
      </c>
      <c r="AW55" s="269">
        <f t="shared" si="21"/>
        <v>0</v>
      </c>
      <c r="AX55" s="198">
        <f t="shared" si="22"/>
        <v>0</v>
      </c>
      <c r="AY55" s="190">
        <v>0</v>
      </c>
      <c r="AZ55" s="214">
        <f t="shared" si="23"/>
        <v>0.0445</v>
      </c>
      <c r="BA55" s="269">
        <f t="shared" si="24"/>
        <v>0</v>
      </c>
      <c r="BB55" s="269">
        <f t="shared" si="25"/>
        <v>0</v>
      </c>
      <c r="BC55" s="198">
        <f t="shared" si="26"/>
        <v>0</v>
      </c>
      <c r="BD55" s="199">
        <f t="shared" si="27"/>
        <v>0</v>
      </c>
      <c r="BE55" s="235" t="s">
        <v>173</v>
      </c>
      <c r="BF55" s="446" t="s">
        <v>174</v>
      </c>
      <c r="BG55" s="446"/>
      <c r="BH55" s="22" t="s">
        <v>54</v>
      </c>
      <c r="BI55" s="200">
        <f t="shared" si="30"/>
        <v>0</v>
      </c>
      <c r="BJ55" s="200">
        <f t="shared" si="31"/>
        <v>0</v>
      </c>
      <c r="BK55" s="197">
        <f t="shared" si="32"/>
        <v>0</v>
      </c>
      <c r="BL55" s="197">
        <f t="shared" si="33"/>
        <v>0</v>
      </c>
      <c r="BM55" s="197"/>
      <c r="BN55" s="201">
        <f t="shared" si="34"/>
        <v>0</v>
      </c>
      <c r="BO55" s="202">
        <f t="shared" si="35"/>
        <v>0</v>
      </c>
      <c r="BP55" s="203">
        <f t="shared" si="36"/>
        <v>0</v>
      </c>
      <c r="BQ55" s="204">
        <f t="shared" si="37"/>
        <v>0</v>
      </c>
      <c r="BR55" s="205">
        <f t="shared" si="38"/>
        <v>0</v>
      </c>
      <c r="BS55" s="206">
        <f t="shared" si="39"/>
        <v>0</v>
      </c>
      <c r="BT55" s="84"/>
    </row>
    <row r="56" spans="1:72" ht="18.75" customHeight="1">
      <c r="A56" s="84"/>
      <c r="B56" s="235" t="s">
        <v>175</v>
      </c>
      <c r="C56" s="236" t="s">
        <v>176</v>
      </c>
      <c r="D56" s="78" t="s">
        <v>53</v>
      </c>
      <c r="E56" s="307">
        <v>10</v>
      </c>
      <c r="F56" s="214">
        <f>$G$17</f>
        <v>0.0565</v>
      </c>
      <c r="G56" s="197">
        <f>ROUND(E56*F56,2)</f>
        <v>0.57</v>
      </c>
      <c r="H56" s="197">
        <f>ROUND(G56*($A$16+$A$17)/100,2)</f>
        <v>0</v>
      </c>
      <c r="I56" s="198">
        <f>SUM(G56:H56)</f>
        <v>0.57</v>
      </c>
      <c r="J56" s="257"/>
      <c r="K56" s="214">
        <f>$G$21</f>
        <v>0.0445</v>
      </c>
      <c r="L56" s="197">
        <f>ROUND(J56*K56,2)</f>
        <v>0</v>
      </c>
      <c r="M56" s="197">
        <f>ROUND(L56*($A$16+$A$17)/100,2)</f>
        <v>0</v>
      </c>
      <c r="N56" s="198">
        <f>SUM(L56:M56)</f>
        <v>0</v>
      </c>
      <c r="O56" s="199">
        <f>SUM(I56,N56)</f>
        <v>0.57</v>
      </c>
      <c r="P56" s="235" t="s">
        <v>175</v>
      </c>
      <c r="Q56" s="446" t="s">
        <v>176</v>
      </c>
      <c r="R56" s="446"/>
      <c r="S56" s="76"/>
      <c r="T56" s="22" t="s">
        <v>704</v>
      </c>
      <c r="U56" s="200">
        <f t="shared" si="40"/>
        <v>0.57</v>
      </c>
      <c r="V56" s="200">
        <f t="shared" si="41"/>
        <v>0.06</v>
      </c>
      <c r="W56" s="197">
        <f t="shared" si="42"/>
        <v>0.21</v>
      </c>
      <c r="X56" s="197">
        <f t="shared" si="43"/>
        <v>0</v>
      </c>
      <c r="Y56" s="197"/>
      <c r="Z56" s="201">
        <f t="shared" si="44"/>
        <v>0.63</v>
      </c>
      <c r="AA56" s="202">
        <f t="shared" si="45"/>
        <v>1.4699999999999998</v>
      </c>
      <c r="AB56" s="203">
        <f t="shared" si="46"/>
        <v>0.44</v>
      </c>
      <c r="AC56" s="204">
        <f t="shared" si="47"/>
        <v>1.9099999999999997</v>
      </c>
      <c r="AD56" s="205">
        <f t="shared" si="48"/>
        <v>0.1</v>
      </c>
      <c r="AE56" s="206">
        <f t="shared" si="49"/>
        <v>2.01</v>
      </c>
      <c r="AF56" s="84"/>
      <c r="AG56" s="235" t="s">
        <v>175</v>
      </c>
      <c r="AH56" s="446" t="s">
        <v>176</v>
      </c>
      <c r="AI56" s="446"/>
      <c r="AJ56" s="78"/>
      <c r="AK56" s="78"/>
      <c r="AL56" s="207">
        <f t="shared" si="17"/>
        <v>2.01</v>
      </c>
      <c r="AM56" s="207"/>
      <c r="AN56" s="207">
        <f t="shared" si="18"/>
        <v>0</v>
      </c>
      <c r="AO56" s="19"/>
      <c r="AP56" s="84"/>
      <c r="AQ56" s="235" t="s">
        <v>175</v>
      </c>
      <c r="AR56" s="446" t="s">
        <v>176</v>
      </c>
      <c r="AS56" s="446"/>
      <c r="AT56" s="29">
        <v>0</v>
      </c>
      <c r="AU56" s="214">
        <f t="shared" si="19"/>
        <v>0.0565</v>
      </c>
      <c r="AV56" s="269">
        <f t="shared" si="20"/>
        <v>0</v>
      </c>
      <c r="AW56" s="269">
        <f t="shared" si="21"/>
        <v>0</v>
      </c>
      <c r="AX56" s="198">
        <f t="shared" si="22"/>
        <v>0</v>
      </c>
      <c r="AY56" s="190">
        <v>0</v>
      </c>
      <c r="AZ56" s="214">
        <f t="shared" si="23"/>
        <v>0.0445</v>
      </c>
      <c r="BA56" s="269">
        <f t="shared" si="24"/>
        <v>0</v>
      </c>
      <c r="BB56" s="269">
        <f t="shared" si="25"/>
        <v>0</v>
      </c>
      <c r="BC56" s="198">
        <f t="shared" si="26"/>
        <v>0</v>
      </c>
      <c r="BD56" s="199">
        <f t="shared" si="27"/>
        <v>0</v>
      </c>
      <c r="BE56" s="235" t="s">
        <v>175</v>
      </c>
      <c r="BF56" s="446" t="s">
        <v>176</v>
      </c>
      <c r="BG56" s="446"/>
      <c r="BH56" s="22"/>
      <c r="BI56" s="200">
        <f t="shared" si="30"/>
        <v>0</v>
      </c>
      <c r="BJ56" s="200">
        <f t="shared" si="31"/>
        <v>0</v>
      </c>
      <c r="BK56" s="197">
        <f t="shared" si="32"/>
        <v>0</v>
      </c>
      <c r="BL56" s="197">
        <f t="shared" si="33"/>
        <v>0</v>
      </c>
      <c r="BM56" s="197"/>
      <c r="BN56" s="201">
        <f t="shared" si="34"/>
        <v>0</v>
      </c>
      <c r="BO56" s="202">
        <f t="shared" si="35"/>
        <v>0</v>
      </c>
      <c r="BP56" s="203">
        <f t="shared" si="36"/>
        <v>0</v>
      </c>
      <c r="BQ56" s="204">
        <f t="shared" si="37"/>
        <v>0</v>
      </c>
      <c r="BR56" s="205">
        <f t="shared" si="38"/>
        <v>0</v>
      </c>
      <c r="BS56" s="206">
        <f t="shared" si="39"/>
        <v>0</v>
      </c>
      <c r="BT56" s="84"/>
    </row>
    <row r="57" spans="1:72" ht="29.25" customHeight="1">
      <c r="A57" s="84"/>
      <c r="B57" s="235" t="s">
        <v>854</v>
      </c>
      <c r="C57" s="236" t="s">
        <v>855</v>
      </c>
      <c r="D57" s="78" t="s">
        <v>53</v>
      </c>
      <c r="E57" s="307">
        <v>40</v>
      </c>
      <c r="F57" s="214">
        <f>$G$17</f>
        <v>0.0565</v>
      </c>
      <c r="G57" s="197">
        <f>ROUND(E57*F57,2)</f>
        <v>2.26</v>
      </c>
      <c r="H57" s="197">
        <f>ROUND(G57*($A$16+$A$17)/100,2)</f>
        <v>0</v>
      </c>
      <c r="I57" s="198">
        <f>SUM(G57:H57)</f>
        <v>2.26</v>
      </c>
      <c r="J57" s="257">
        <v>60</v>
      </c>
      <c r="K57" s="214">
        <f>$G$21</f>
        <v>0.0445</v>
      </c>
      <c r="L57" s="197">
        <f>ROUND(J57*K57,2)</f>
        <v>2.67</v>
      </c>
      <c r="M57" s="197">
        <f>ROUND(L57*($A$16+$A$17)/100,2)</f>
        <v>0</v>
      </c>
      <c r="N57" s="198">
        <f>SUM(L57:M57)</f>
        <v>2.67</v>
      </c>
      <c r="O57" s="199">
        <f>SUM(I57,N57)</f>
        <v>4.93</v>
      </c>
      <c r="P57" s="235" t="str">
        <f>B57</f>
        <v>1.13.3.</v>
      </c>
      <c r="Q57" s="446" t="str">
        <f>C57</f>
        <v>гигиеническое обучение декретированных контингентов (включая оценку знаний) 1 человек</v>
      </c>
      <c r="R57" s="446"/>
      <c r="S57" s="76"/>
      <c r="T57" s="22" t="s">
        <v>704</v>
      </c>
      <c r="U57" s="200">
        <f>O57</f>
        <v>4.93</v>
      </c>
      <c r="V57" s="200">
        <f>ROUND(U57*$S$19,2)</f>
        <v>0.51</v>
      </c>
      <c r="W57" s="197">
        <f>ROUND(SUM(U57:V57)*$AA$19,2)</f>
        <v>1.85</v>
      </c>
      <c r="X57" s="197">
        <f>ROUND(SUM(U57:V57)*$AA$21,2)</f>
        <v>0</v>
      </c>
      <c r="Y57" s="197"/>
      <c r="Z57" s="201">
        <f>ROUND(U57*$S$20,2)</f>
        <v>5.41</v>
      </c>
      <c r="AA57" s="202">
        <f>SUM(U57:Z57)</f>
        <v>12.7</v>
      </c>
      <c r="AB57" s="203">
        <f>ROUND(AA57*$S$21,2)</f>
        <v>3.81</v>
      </c>
      <c r="AC57" s="204">
        <f>SUM(AA57:AB57)</f>
        <v>16.509999999999998</v>
      </c>
      <c r="AD57" s="205">
        <f>ROUND(AC57*$AD$19/95,2)</f>
        <v>0.87</v>
      </c>
      <c r="AE57" s="206">
        <f>SUM(AC57:AD57)</f>
        <v>17.38</v>
      </c>
      <c r="AF57" s="84"/>
      <c r="AG57" s="235" t="s">
        <v>175</v>
      </c>
      <c r="AH57" s="446" t="s">
        <v>176</v>
      </c>
      <c r="AI57" s="446"/>
      <c r="AJ57" s="78"/>
      <c r="AK57" s="78"/>
      <c r="AL57" s="207">
        <f>AE57</f>
        <v>17.38</v>
      </c>
      <c r="AM57" s="207"/>
      <c r="AN57" s="207">
        <f>BS57</f>
        <v>0</v>
      </c>
      <c r="AO57" s="19"/>
      <c r="AP57" s="84"/>
      <c r="AQ57" s="235" t="s">
        <v>175</v>
      </c>
      <c r="AR57" s="446" t="s">
        <v>176</v>
      </c>
      <c r="AS57" s="446"/>
      <c r="AT57" s="29">
        <v>0</v>
      </c>
      <c r="AU57" s="214">
        <f t="shared" si="19"/>
        <v>0.0565</v>
      </c>
      <c r="AV57" s="269">
        <f>ROUND(AT57*AU57,2)</f>
        <v>0</v>
      </c>
      <c r="AW57" s="269">
        <f>ROUND(AV57*($A$16+$A$17)/100,2)</f>
        <v>0</v>
      </c>
      <c r="AX57" s="198">
        <f>SUM(AV57:AW57)</f>
        <v>0</v>
      </c>
      <c r="AY57" s="190">
        <v>0</v>
      </c>
      <c r="AZ57" s="214">
        <f t="shared" si="23"/>
        <v>0.0445</v>
      </c>
      <c r="BA57" s="269">
        <f>ROUND(AY57*AZ57,2)</f>
        <v>0</v>
      </c>
      <c r="BB57" s="269">
        <f>ROUND(BA57*($A$16+$A$17)/100,2)</f>
        <v>0</v>
      </c>
      <c r="BC57" s="198">
        <f>SUM(BA57:BB57)</f>
        <v>0</v>
      </c>
      <c r="BD57" s="199">
        <f>SUM(AX57,BC57)</f>
        <v>0</v>
      </c>
      <c r="BE57" s="235" t="s">
        <v>175</v>
      </c>
      <c r="BF57" s="446" t="s">
        <v>176</v>
      </c>
      <c r="BG57" s="446"/>
      <c r="BH57" s="22"/>
      <c r="BI57" s="200">
        <f>BD57</f>
        <v>0</v>
      </c>
      <c r="BJ57" s="200">
        <f>ROUND(BI57*$S$19,2)</f>
        <v>0</v>
      </c>
      <c r="BK57" s="197">
        <f>ROUND(SUM(BI57:BJ57)*$AA$19,2)</f>
        <v>0</v>
      </c>
      <c r="BL57" s="197">
        <f>ROUND(SUM(BI57:BJ57)*$AA$21,2)</f>
        <v>0</v>
      </c>
      <c r="BM57" s="197"/>
      <c r="BN57" s="201">
        <f>ROUND(BI57*$S$20,2)</f>
        <v>0</v>
      </c>
      <c r="BO57" s="202">
        <f>SUM(BI57:BN57)</f>
        <v>0</v>
      </c>
      <c r="BP57" s="203">
        <f>ROUND(BO57*$S$21,2)</f>
        <v>0</v>
      </c>
      <c r="BQ57" s="204">
        <f>SUM(BO57:BP57)</f>
        <v>0</v>
      </c>
      <c r="BR57" s="205">
        <f>ROUND(BQ57*$AD$19/95,2)</f>
        <v>0</v>
      </c>
      <c r="BS57" s="206">
        <f>SUM(BQ57:BR57)</f>
        <v>0</v>
      </c>
      <c r="BT57" s="84"/>
    </row>
    <row r="58" spans="1:72" ht="52.5" customHeight="1">
      <c r="A58" s="84"/>
      <c r="B58" s="235" t="s">
        <v>177</v>
      </c>
      <c r="C58" s="236" t="s">
        <v>178</v>
      </c>
      <c r="D58" s="78" t="s">
        <v>53</v>
      </c>
      <c r="E58" s="307">
        <v>0</v>
      </c>
      <c r="F58" s="214">
        <f>$G$17</f>
        <v>0.0565</v>
      </c>
      <c r="G58" s="197">
        <f>ROUND(E58*F58,2)</f>
        <v>0</v>
      </c>
      <c r="H58" s="197">
        <f>ROUND(G58*($A$16+$A$17)/100,2)</f>
        <v>0</v>
      </c>
      <c r="I58" s="198">
        <f>SUM(G58:H58)</f>
        <v>0</v>
      </c>
      <c r="J58" s="257">
        <v>180</v>
      </c>
      <c r="K58" s="214">
        <f>$G$21</f>
        <v>0.0445</v>
      </c>
      <c r="L58" s="197">
        <f>ROUND(J58*K58,2)</f>
        <v>8.01</v>
      </c>
      <c r="M58" s="197">
        <f>ROUND(L58*($A$16+$A$17)/100,2)</f>
        <v>0</v>
      </c>
      <c r="N58" s="198">
        <f>SUM(L58:M58)</f>
        <v>8.01</v>
      </c>
      <c r="O58" s="199">
        <f>SUM(I58,N58)</f>
        <v>8.01</v>
      </c>
      <c r="P58" s="235" t="s">
        <v>177</v>
      </c>
      <c r="Q58" s="446" t="s">
        <v>178</v>
      </c>
      <c r="R58" s="446"/>
      <c r="S58" s="76"/>
      <c r="T58" s="22" t="s">
        <v>712</v>
      </c>
      <c r="U58" s="200">
        <f t="shared" si="40"/>
        <v>8.01</v>
      </c>
      <c r="V58" s="200">
        <f t="shared" si="41"/>
        <v>0.83</v>
      </c>
      <c r="W58" s="197">
        <f t="shared" si="42"/>
        <v>3.01</v>
      </c>
      <c r="X58" s="197">
        <f t="shared" si="43"/>
        <v>0.01</v>
      </c>
      <c r="Y58" s="197"/>
      <c r="Z58" s="201">
        <f t="shared" si="44"/>
        <v>8.79</v>
      </c>
      <c r="AA58" s="202">
        <f t="shared" si="45"/>
        <v>20.65</v>
      </c>
      <c r="AB58" s="203">
        <f t="shared" si="46"/>
        <v>6.2</v>
      </c>
      <c r="AC58" s="204">
        <f t="shared" si="47"/>
        <v>26.849999999999998</v>
      </c>
      <c r="AD58" s="205">
        <f t="shared" si="48"/>
        <v>1.41</v>
      </c>
      <c r="AE58" s="206">
        <f t="shared" si="49"/>
        <v>28.259999999999998</v>
      </c>
      <c r="AF58" s="84"/>
      <c r="AG58" s="235" t="s">
        <v>177</v>
      </c>
      <c r="AH58" s="446" t="s">
        <v>178</v>
      </c>
      <c r="AI58" s="446"/>
      <c r="AJ58" s="78" t="s">
        <v>54</v>
      </c>
      <c r="AK58" s="78"/>
      <c r="AL58" s="207">
        <f t="shared" si="17"/>
        <v>28.259999999999998</v>
      </c>
      <c r="AM58" s="207"/>
      <c r="AN58" s="207">
        <f t="shared" si="18"/>
        <v>0</v>
      </c>
      <c r="AO58" s="19"/>
      <c r="AP58" s="84"/>
      <c r="AQ58" s="235" t="s">
        <v>177</v>
      </c>
      <c r="AR58" s="446" t="s">
        <v>178</v>
      </c>
      <c r="AS58" s="446"/>
      <c r="AT58" s="29">
        <v>0</v>
      </c>
      <c r="AU58" s="214">
        <f t="shared" si="19"/>
        <v>0.0565</v>
      </c>
      <c r="AV58" s="269">
        <f t="shared" si="20"/>
        <v>0</v>
      </c>
      <c r="AW58" s="269">
        <f t="shared" si="21"/>
        <v>0</v>
      </c>
      <c r="AX58" s="198">
        <f t="shared" si="22"/>
        <v>0</v>
      </c>
      <c r="AY58" s="190">
        <v>0</v>
      </c>
      <c r="AZ58" s="214">
        <f t="shared" si="23"/>
        <v>0.0445</v>
      </c>
      <c r="BA58" s="269">
        <f t="shared" si="24"/>
        <v>0</v>
      </c>
      <c r="BB58" s="269">
        <f t="shared" si="25"/>
        <v>0</v>
      </c>
      <c r="BC58" s="198">
        <f t="shared" si="26"/>
        <v>0</v>
      </c>
      <c r="BD58" s="199">
        <f t="shared" si="27"/>
        <v>0</v>
      </c>
      <c r="BE58" s="235" t="s">
        <v>177</v>
      </c>
      <c r="BF58" s="446" t="s">
        <v>178</v>
      </c>
      <c r="BG58" s="446"/>
      <c r="BH58" s="22" t="s">
        <v>54</v>
      </c>
      <c r="BI58" s="200">
        <f t="shared" si="30"/>
        <v>0</v>
      </c>
      <c r="BJ58" s="200">
        <f t="shared" si="31"/>
        <v>0</v>
      </c>
      <c r="BK58" s="197">
        <f t="shared" si="32"/>
        <v>0</v>
      </c>
      <c r="BL58" s="197">
        <f t="shared" si="33"/>
        <v>0</v>
      </c>
      <c r="BM58" s="197"/>
      <c r="BN58" s="201">
        <f t="shared" si="34"/>
        <v>0</v>
      </c>
      <c r="BO58" s="202">
        <f t="shared" si="35"/>
        <v>0</v>
      </c>
      <c r="BP58" s="203">
        <f t="shared" si="36"/>
        <v>0</v>
      </c>
      <c r="BQ58" s="204">
        <f t="shared" si="37"/>
        <v>0</v>
      </c>
      <c r="BR58" s="205">
        <f t="shared" si="38"/>
        <v>0</v>
      </c>
      <c r="BS58" s="206">
        <f t="shared" si="39"/>
        <v>0</v>
      </c>
      <c r="BT58" s="84"/>
    </row>
    <row r="59" spans="1:72" ht="93.75" customHeight="1">
      <c r="A59" s="84"/>
      <c r="B59" s="235" t="s">
        <v>179</v>
      </c>
      <c r="C59" s="236" t="s">
        <v>180</v>
      </c>
      <c r="D59" s="78" t="s">
        <v>53</v>
      </c>
      <c r="E59" s="307">
        <v>120</v>
      </c>
      <c r="F59" s="214">
        <f>$G$17</f>
        <v>0.0565</v>
      </c>
      <c r="G59" s="197">
        <f>ROUND(E59*F59,2)</f>
        <v>6.78</v>
      </c>
      <c r="H59" s="197">
        <f>ROUND(G59*($A$16+$A$17)/100,2)</f>
        <v>0</v>
      </c>
      <c r="I59" s="198">
        <f>SUM(G59:H59)</f>
        <v>6.78</v>
      </c>
      <c r="J59" s="257">
        <v>0</v>
      </c>
      <c r="K59" s="214">
        <f>$G$21</f>
        <v>0.0445</v>
      </c>
      <c r="L59" s="197">
        <f>ROUND(J59*K59,2)</f>
        <v>0</v>
      </c>
      <c r="M59" s="197">
        <f>ROUND(L59*($A$16+$A$17)/100,2)</f>
        <v>0</v>
      </c>
      <c r="N59" s="198">
        <f>SUM(L59:M59)</f>
        <v>0</v>
      </c>
      <c r="O59" s="199">
        <f>SUM(I59,N59)</f>
        <v>6.78</v>
      </c>
      <c r="P59" s="235" t="s">
        <v>179</v>
      </c>
      <c r="Q59" s="446" t="s">
        <v>180</v>
      </c>
      <c r="R59" s="446"/>
      <c r="S59" s="76"/>
      <c r="T59" s="22" t="s">
        <v>713</v>
      </c>
      <c r="U59" s="200">
        <f t="shared" si="40"/>
        <v>6.78</v>
      </c>
      <c r="V59" s="200">
        <f t="shared" si="41"/>
        <v>0.7</v>
      </c>
      <c r="W59" s="197">
        <f t="shared" si="42"/>
        <v>2.54</v>
      </c>
      <c r="X59" s="197">
        <f t="shared" si="43"/>
        <v>0.01</v>
      </c>
      <c r="Y59" s="197"/>
      <c r="Z59" s="201">
        <f t="shared" si="44"/>
        <v>7.44</v>
      </c>
      <c r="AA59" s="202">
        <f t="shared" si="45"/>
        <v>17.47</v>
      </c>
      <c r="AB59" s="203">
        <f t="shared" si="46"/>
        <v>5.24</v>
      </c>
      <c r="AC59" s="204">
        <f t="shared" si="47"/>
        <v>22.71</v>
      </c>
      <c r="AD59" s="205">
        <f t="shared" si="48"/>
        <v>1.2</v>
      </c>
      <c r="AE59" s="206">
        <f t="shared" si="49"/>
        <v>23.91</v>
      </c>
      <c r="AF59" s="84"/>
      <c r="AG59" s="235" t="s">
        <v>179</v>
      </c>
      <c r="AH59" s="446" t="s">
        <v>180</v>
      </c>
      <c r="AI59" s="446"/>
      <c r="AJ59" s="78" t="s">
        <v>54</v>
      </c>
      <c r="AK59" s="78"/>
      <c r="AL59" s="207">
        <f t="shared" si="17"/>
        <v>23.91</v>
      </c>
      <c r="AM59" s="207"/>
      <c r="AN59" s="207">
        <f t="shared" si="18"/>
        <v>0</v>
      </c>
      <c r="AO59" s="19"/>
      <c r="AP59" s="84"/>
      <c r="AQ59" s="235" t="s">
        <v>179</v>
      </c>
      <c r="AR59" s="446" t="s">
        <v>180</v>
      </c>
      <c r="AS59" s="446"/>
      <c r="AT59" s="29">
        <v>0</v>
      </c>
      <c r="AU59" s="214">
        <f t="shared" si="19"/>
        <v>0.0565</v>
      </c>
      <c r="AV59" s="269">
        <f t="shared" si="20"/>
        <v>0</v>
      </c>
      <c r="AW59" s="269">
        <f t="shared" si="21"/>
        <v>0</v>
      </c>
      <c r="AX59" s="198">
        <f t="shared" si="22"/>
        <v>0</v>
      </c>
      <c r="AY59" s="190">
        <v>0</v>
      </c>
      <c r="AZ59" s="214">
        <f t="shared" si="23"/>
        <v>0.0445</v>
      </c>
      <c r="BA59" s="269">
        <f t="shared" si="24"/>
        <v>0</v>
      </c>
      <c r="BB59" s="269">
        <f t="shared" si="25"/>
        <v>0</v>
      </c>
      <c r="BC59" s="198">
        <f t="shared" si="26"/>
        <v>0</v>
      </c>
      <c r="BD59" s="199">
        <f t="shared" si="27"/>
        <v>0</v>
      </c>
      <c r="BE59" s="235" t="s">
        <v>179</v>
      </c>
      <c r="BF59" s="446" t="s">
        <v>180</v>
      </c>
      <c r="BG59" s="446"/>
      <c r="BH59" s="22" t="s">
        <v>54</v>
      </c>
      <c r="BI59" s="200">
        <f t="shared" si="30"/>
        <v>0</v>
      </c>
      <c r="BJ59" s="200">
        <f t="shared" si="31"/>
        <v>0</v>
      </c>
      <c r="BK59" s="197">
        <f t="shared" si="32"/>
        <v>0</v>
      </c>
      <c r="BL59" s="197">
        <f t="shared" si="33"/>
        <v>0</v>
      </c>
      <c r="BM59" s="197"/>
      <c r="BN59" s="201">
        <f t="shared" si="34"/>
        <v>0</v>
      </c>
      <c r="BO59" s="202">
        <f t="shared" si="35"/>
        <v>0</v>
      </c>
      <c r="BP59" s="203">
        <f t="shared" si="36"/>
        <v>0</v>
      </c>
      <c r="BQ59" s="204">
        <f t="shared" si="37"/>
        <v>0</v>
      </c>
      <c r="BR59" s="205">
        <f t="shared" si="38"/>
        <v>0</v>
      </c>
      <c r="BS59" s="206">
        <f t="shared" si="39"/>
        <v>0</v>
      </c>
      <c r="BT59" s="84"/>
    </row>
    <row r="60" spans="1:72" ht="30.75" customHeight="1">
      <c r="A60" s="84"/>
      <c r="B60" s="233" t="s">
        <v>181</v>
      </c>
      <c r="C60" s="234" t="s">
        <v>182</v>
      </c>
      <c r="D60" s="251"/>
      <c r="E60" s="255"/>
      <c r="F60" s="256"/>
      <c r="G60" s="253"/>
      <c r="H60" s="253"/>
      <c r="I60" s="254"/>
      <c r="J60" s="257"/>
      <c r="K60" s="255"/>
      <c r="L60" s="253"/>
      <c r="M60" s="253"/>
      <c r="N60" s="254"/>
      <c r="O60" s="220"/>
      <c r="P60" s="233" t="s">
        <v>181</v>
      </c>
      <c r="Q60" s="442" t="s">
        <v>182</v>
      </c>
      <c r="R60" s="442"/>
      <c r="S60" s="76"/>
      <c r="T60" s="219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20"/>
      <c r="AF60" s="84"/>
      <c r="AG60" s="233" t="s">
        <v>181</v>
      </c>
      <c r="AH60" s="442" t="s">
        <v>182</v>
      </c>
      <c r="AI60" s="442"/>
      <c r="AJ60" s="78"/>
      <c r="AK60" s="78"/>
      <c r="AL60" s="207"/>
      <c r="AM60" s="207"/>
      <c r="AN60" s="207"/>
      <c r="AO60" s="19"/>
      <c r="AP60" s="84"/>
      <c r="AQ60" s="233" t="s">
        <v>181</v>
      </c>
      <c r="AR60" s="442" t="s">
        <v>182</v>
      </c>
      <c r="AS60" s="442"/>
      <c r="AT60" s="29"/>
      <c r="AU60" s="256"/>
      <c r="AV60" s="254"/>
      <c r="AW60" s="254"/>
      <c r="AX60" s="254"/>
      <c r="AY60" s="255"/>
      <c r="AZ60" s="256"/>
      <c r="BA60" s="254"/>
      <c r="BB60" s="254"/>
      <c r="BC60" s="254"/>
      <c r="BD60" s="220"/>
      <c r="BE60" s="233" t="s">
        <v>181</v>
      </c>
      <c r="BF60" s="442" t="s">
        <v>182</v>
      </c>
      <c r="BG60" s="442"/>
      <c r="BH60" s="219"/>
      <c r="BI60" s="253"/>
      <c r="BJ60" s="253"/>
      <c r="BK60" s="253"/>
      <c r="BL60" s="253"/>
      <c r="BM60" s="253"/>
      <c r="BN60" s="253"/>
      <c r="BO60" s="253"/>
      <c r="BP60" s="253"/>
      <c r="BQ60" s="253"/>
      <c r="BR60" s="253"/>
      <c r="BS60" s="220"/>
      <c r="BT60" s="84"/>
    </row>
    <row r="61" spans="1:72" ht="41.25" customHeight="1">
      <c r="A61" s="84"/>
      <c r="B61" s="235" t="s">
        <v>183</v>
      </c>
      <c r="C61" s="236" t="s">
        <v>184</v>
      </c>
      <c r="D61" s="78" t="s">
        <v>53</v>
      </c>
      <c r="E61" s="307">
        <v>0</v>
      </c>
      <c r="F61" s="214">
        <f aca="true" t="shared" si="59" ref="F61:F69">$G$17</f>
        <v>0.0565</v>
      </c>
      <c r="G61" s="197">
        <f aca="true" t="shared" si="60" ref="G61:G69">ROUND(E61*F61,2)</f>
        <v>0</v>
      </c>
      <c r="H61" s="197">
        <f aca="true" t="shared" si="61" ref="H61:H69">ROUND(G61*($A$16+$A$17)/100,2)</f>
        <v>0</v>
      </c>
      <c r="I61" s="198">
        <f aca="true" t="shared" si="62" ref="I61:I69">SUM(G61:H61)</f>
        <v>0</v>
      </c>
      <c r="J61" s="257">
        <v>160</v>
      </c>
      <c r="K61" s="214">
        <f aca="true" t="shared" si="63" ref="K61:K69">$G$21</f>
        <v>0.0445</v>
      </c>
      <c r="L61" s="197">
        <f aca="true" t="shared" si="64" ref="L61:L69">ROUND(J61*K61,2)</f>
        <v>7.12</v>
      </c>
      <c r="M61" s="197">
        <f aca="true" t="shared" si="65" ref="M61:M69">ROUND(L61*($A$16+$A$17)/100,2)</f>
        <v>0</v>
      </c>
      <c r="N61" s="198">
        <f aca="true" t="shared" si="66" ref="N61:N69">SUM(L61:M61)</f>
        <v>7.12</v>
      </c>
      <c r="O61" s="199">
        <f aca="true" t="shared" si="67" ref="O61:O69">SUM(I61,N61)</f>
        <v>7.12</v>
      </c>
      <c r="P61" s="235" t="s">
        <v>183</v>
      </c>
      <c r="Q61" s="446" t="s">
        <v>184</v>
      </c>
      <c r="R61" s="446"/>
      <c r="S61" s="76"/>
      <c r="T61" s="22" t="s">
        <v>714</v>
      </c>
      <c r="U61" s="200">
        <f t="shared" si="40"/>
        <v>7.12</v>
      </c>
      <c r="V61" s="200">
        <f t="shared" si="41"/>
        <v>0.74</v>
      </c>
      <c r="W61" s="197">
        <f t="shared" si="42"/>
        <v>2.67</v>
      </c>
      <c r="X61" s="197">
        <f t="shared" si="43"/>
        <v>0.01</v>
      </c>
      <c r="Y61" s="197"/>
      <c r="Z61" s="201">
        <f t="shared" si="44"/>
        <v>7.82</v>
      </c>
      <c r="AA61" s="202">
        <f t="shared" si="45"/>
        <v>18.36</v>
      </c>
      <c r="AB61" s="203">
        <f t="shared" si="46"/>
        <v>5.51</v>
      </c>
      <c r="AC61" s="204">
        <f t="shared" si="47"/>
        <v>23.869999999999997</v>
      </c>
      <c r="AD61" s="205">
        <f t="shared" si="48"/>
        <v>1.26</v>
      </c>
      <c r="AE61" s="206">
        <f t="shared" si="49"/>
        <v>25.13</v>
      </c>
      <c r="AF61" s="84"/>
      <c r="AG61" s="235" t="s">
        <v>183</v>
      </c>
      <c r="AH61" s="446" t="s">
        <v>184</v>
      </c>
      <c r="AI61" s="446"/>
      <c r="AJ61" s="78" t="s">
        <v>54</v>
      </c>
      <c r="AK61" s="78"/>
      <c r="AL61" s="207">
        <f t="shared" si="17"/>
        <v>25.13</v>
      </c>
      <c r="AM61" s="207"/>
      <c r="AN61" s="207">
        <f t="shared" si="18"/>
        <v>0</v>
      </c>
      <c r="AO61" s="19"/>
      <c r="AP61" s="84"/>
      <c r="AQ61" s="235" t="s">
        <v>183</v>
      </c>
      <c r="AR61" s="446" t="s">
        <v>184</v>
      </c>
      <c r="AS61" s="446"/>
      <c r="AT61" s="29">
        <v>0</v>
      </c>
      <c r="AU61" s="214">
        <f t="shared" si="19"/>
        <v>0.0565</v>
      </c>
      <c r="AV61" s="269">
        <f t="shared" si="20"/>
        <v>0</v>
      </c>
      <c r="AW61" s="269">
        <f t="shared" si="21"/>
        <v>0</v>
      </c>
      <c r="AX61" s="198">
        <f t="shared" si="22"/>
        <v>0</v>
      </c>
      <c r="AY61" s="190">
        <v>0</v>
      </c>
      <c r="AZ61" s="214">
        <f t="shared" si="23"/>
        <v>0.0445</v>
      </c>
      <c r="BA61" s="269">
        <f t="shared" si="24"/>
        <v>0</v>
      </c>
      <c r="BB61" s="269">
        <f t="shared" si="25"/>
        <v>0</v>
      </c>
      <c r="BC61" s="198">
        <f t="shared" si="26"/>
        <v>0</v>
      </c>
      <c r="BD61" s="199">
        <f t="shared" si="27"/>
        <v>0</v>
      </c>
      <c r="BE61" s="235" t="s">
        <v>183</v>
      </c>
      <c r="BF61" s="446" t="s">
        <v>184</v>
      </c>
      <c r="BG61" s="446"/>
      <c r="BH61" s="22" t="s">
        <v>54</v>
      </c>
      <c r="BI61" s="200">
        <f t="shared" si="30"/>
        <v>0</v>
      </c>
      <c r="BJ61" s="200">
        <f t="shared" si="31"/>
        <v>0</v>
      </c>
      <c r="BK61" s="197">
        <f t="shared" si="32"/>
        <v>0</v>
      </c>
      <c r="BL61" s="197">
        <f t="shared" si="33"/>
        <v>0</v>
      </c>
      <c r="BM61" s="197"/>
      <c r="BN61" s="201">
        <f t="shared" si="34"/>
        <v>0</v>
      </c>
      <c r="BO61" s="202">
        <f t="shared" si="35"/>
        <v>0</v>
      </c>
      <c r="BP61" s="203">
        <f t="shared" si="36"/>
        <v>0</v>
      </c>
      <c r="BQ61" s="204">
        <f t="shared" si="37"/>
        <v>0</v>
      </c>
      <c r="BR61" s="205">
        <f t="shared" si="38"/>
        <v>0</v>
      </c>
      <c r="BS61" s="206">
        <f t="shared" si="39"/>
        <v>0</v>
      </c>
      <c r="BT61" s="84"/>
    </row>
    <row r="62" spans="1:72" ht="42" customHeight="1">
      <c r="A62" s="84"/>
      <c r="B62" s="235" t="s">
        <v>185</v>
      </c>
      <c r="C62" s="236" t="s">
        <v>186</v>
      </c>
      <c r="D62" s="78" t="s">
        <v>53</v>
      </c>
      <c r="E62" s="307">
        <v>0</v>
      </c>
      <c r="F62" s="214">
        <f t="shared" si="59"/>
        <v>0.0565</v>
      </c>
      <c r="G62" s="197">
        <f t="shared" si="60"/>
        <v>0</v>
      </c>
      <c r="H62" s="197">
        <f t="shared" si="61"/>
        <v>0</v>
      </c>
      <c r="I62" s="198">
        <f t="shared" si="62"/>
        <v>0</v>
      </c>
      <c r="J62" s="257">
        <v>150</v>
      </c>
      <c r="K62" s="214">
        <f t="shared" si="63"/>
        <v>0.0445</v>
      </c>
      <c r="L62" s="197">
        <f t="shared" si="64"/>
        <v>6.68</v>
      </c>
      <c r="M62" s="197">
        <f t="shared" si="65"/>
        <v>0</v>
      </c>
      <c r="N62" s="198">
        <f t="shared" si="66"/>
        <v>6.68</v>
      </c>
      <c r="O62" s="199">
        <f t="shared" si="67"/>
        <v>6.68</v>
      </c>
      <c r="P62" s="235" t="s">
        <v>185</v>
      </c>
      <c r="Q62" s="446" t="s">
        <v>186</v>
      </c>
      <c r="R62" s="446"/>
      <c r="S62" s="76"/>
      <c r="T62" s="22" t="s">
        <v>714</v>
      </c>
      <c r="U62" s="200">
        <f t="shared" si="40"/>
        <v>6.68</v>
      </c>
      <c r="V62" s="200">
        <f t="shared" si="41"/>
        <v>0.69</v>
      </c>
      <c r="W62" s="197">
        <f t="shared" si="42"/>
        <v>2.51</v>
      </c>
      <c r="X62" s="197">
        <f t="shared" si="43"/>
        <v>0.01</v>
      </c>
      <c r="Y62" s="197"/>
      <c r="Z62" s="201">
        <f t="shared" si="44"/>
        <v>7.33</v>
      </c>
      <c r="AA62" s="202">
        <f t="shared" si="45"/>
        <v>17.22</v>
      </c>
      <c r="AB62" s="203">
        <f t="shared" si="46"/>
        <v>5.17</v>
      </c>
      <c r="AC62" s="204">
        <f t="shared" si="47"/>
        <v>22.39</v>
      </c>
      <c r="AD62" s="205">
        <f t="shared" si="48"/>
        <v>1.18</v>
      </c>
      <c r="AE62" s="206">
        <f t="shared" si="49"/>
        <v>23.57</v>
      </c>
      <c r="AF62" s="84"/>
      <c r="AG62" s="235" t="s">
        <v>185</v>
      </c>
      <c r="AH62" s="446" t="s">
        <v>186</v>
      </c>
      <c r="AI62" s="446"/>
      <c r="AJ62" s="78" t="s">
        <v>54</v>
      </c>
      <c r="AK62" s="78"/>
      <c r="AL62" s="207">
        <f t="shared" si="17"/>
        <v>23.57</v>
      </c>
      <c r="AM62" s="207"/>
      <c r="AN62" s="207">
        <f t="shared" si="18"/>
        <v>0</v>
      </c>
      <c r="AO62" s="19"/>
      <c r="AP62" s="84"/>
      <c r="AQ62" s="235" t="s">
        <v>185</v>
      </c>
      <c r="AR62" s="446" t="s">
        <v>186</v>
      </c>
      <c r="AS62" s="446"/>
      <c r="AT62" s="29">
        <v>0</v>
      </c>
      <c r="AU62" s="214">
        <f t="shared" si="19"/>
        <v>0.0565</v>
      </c>
      <c r="AV62" s="269">
        <f t="shared" si="20"/>
        <v>0</v>
      </c>
      <c r="AW62" s="269">
        <f t="shared" si="21"/>
        <v>0</v>
      </c>
      <c r="AX62" s="198">
        <f t="shared" si="22"/>
        <v>0</v>
      </c>
      <c r="AY62" s="190">
        <v>0</v>
      </c>
      <c r="AZ62" s="214">
        <f t="shared" si="23"/>
        <v>0.0445</v>
      </c>
      <c r="BA62" s="269">
        <f t="shared" si="24"/>
        <v>0</v>
      </c>
      <c r="BB62" s="269">
        <f t="shared" si="25"/>
        <v>0</v>
      </c>
      <c r="BC62" s="198">
        <f t="shared" si="26"/>
        <v>0</v>
      </c>
      <c r="BD62" s="199">
        <f t="shared" si="27"/>
        <v>0</v>
      </c>
      <c r="BE62" s="235" t="s">
        <v>185</v>
      </c>
      <c r="BF62" s="446" t="s">
        <v>186</v>
      </c>
      <c r="BG62" s="446"/>
      <c r="BH62" s="22" t="s">
        <v>54</v>
      </c>
      <c r="BI62" s="200">
        <f t="shared" si="30"/>
        <v>0</v>
      </c>
      <c r="BJ62" s="200">
        <f t="shared" si="31"/>
        <v>0</v>
      </c>
      <c r="BK62" s="197">
        <f t="shared" si="32"/>
        <v>0</v>
      </c>
      <c r="BL62" s="197">
        <f t="shared" si="33"/>
        <v>0</v>
      </c>
      <c r="BM62" s="197"/>
      <c r="BN62" s="201">
        <f t="shared" si="34"/>
        <v>0</v>
      </c>
      <c r="BO62" s="202">
        <f t="shared" si="35"/>
        <v>0</v>
      </c>
      <c r="BP62" s="203">
        <f t="shared" si="36"/>
        <v>0</v>
      </c>
      <c r="BQ62" s="204">
        <f t="shared" si="37"/>
        <v>0</v>
      </c>
      <c r="BR62" s="205">
        <f t="shared" si="38"/>
        <v>0</v>
      </c>
      <c r="BS62" s="206">
        <f t="shared" si="39"/>
        <v>0</v>
      </c>
      <c r="BT62" s="84"/>
    </row>
    <row r="63" spans="1:72" ht="29.25" customHeight="1">
      <c r="A63" s="84"/>
      <c r="B63" s="235" t="s">
        <v>187</v>
      </c>
      <c r="C63" s="236" t="s">
        <v>188</v>
      </c>
      <c r="D63" s="78" t="s">
        <v>53</v>
      </c>
      <c r="E63" s="307">
        <v>0</v>
      </c>
      <c r="F63" s="214">
        <f t="shared" si="59"/>
        <v>0.0565</v>
      </c>
      <c r="G63" s="197">
        <f t="shared" si="60"/>
        <v>0</v>
      </c>
      <c r="H63" s="197">
        <f t="shared" si="61"/>
        <v>0</v>
      </c>
      <c r="I63" s="198">
        <f t="shared" si="62"/>
        <v>0</v>
      </c>
      <c r="J63" s="257">
        <v>220</v>
      </c>
      <c r="K63" s="214">
        <f t="shared" si="63"/>
        <v>0.0445</v>
      </c>
      <c r="L63" s="197">
        <f t="shared" si="64"/>
        <v>9.79</v>
      </c>
      <c r="M63" s="197">
        <f t="shared" si="65"/>
        <v>0</v>
      </c>
      <c r="N63" s="198">
        <f t="shared" si="66"/>
        <v>9.79</v>
      </c>
      <c r="O63" s="199">
        <f t="shared" si="67"/>
        <v>9.79</v>
      </c>
      <c r="P63" s="235" t="s">
        <v>187</v>
      </c>
      <c r="Q63" s="446" t="s">
        <v>188</v>
      </c>
      <c r="R63" s="446"/>
      <c r="S63" s="76"/>
      <c r="T63" s="22" t="s">
        <v>714</v>
      </c>
      <c r="U63" s="200">
        <f t="shared" si="40"/>
        <v>9.79</v>
      </c>
      <c r="V63" s="200">
        <f t="shared" si="41"/>
        <v>1.01</v>
      </c>
      <c r="W63" s="197">
        <f t="shared" si="42"/>
        <v>3.67</v>
      </c>
      <c r="X63" s="197">
        <f t="shared" si="43"/>
        <v>0.01</v>
      </c>
      <c r="Y63" s="197"/>
      <c r="Z63" s="201">
        <f t="shared" si="44"/>
        <v>10.75</v>
      </c>
      <c r="AA63" s="202">
        <f t="shared" si="45"/>
        <v>25.229999999999997</v>
      </c>
      <c r="AB63" s="203">
        <f t="shared" si="46"/>
        <v>7.57</v>
      </c>
      <c r="AC63" s="204">
        <f t="shared" si="47"/>
        <v>32.8</v>
      </c>
      <c r="AD63" s="205">
        <f t="shared" si="48"/>
        <v>1.73</v>
      </c>
      <c r="AE63" s="206">
        <f t="shared" si="49"/>
        <v>34.529999999999994</v>
      </c>
      <c r="AF63" s="84"/>
      <c r="AG63" s="235" t="s">
        <v>187</v>
      </c>
      <c r="AH63" s="446" t="s">
        <v>188</v>
      </c>
      <c r="AI63" s="446"/>
      <c r="AJ63" s="78" t="s">
        <v>54</v>
      </c>
      <c r="AK63" s="78"/>
      <c r="AL63" s="207">
        <f t="shared" si="17"/>
        <v>34.529999999999994</v>
      </c>
      <c r="AM63" s="207"/>
      <c r="AN63" s="207">
        <f t="shared" si="18"/>
        <v>0</v>
      </c>
      <c r="AO63" s="19"/>
      <c r="AP63" s="84"/>
      <c r="AQ63" s="235" t="s">
        <v>187</v>
      </c>
      <c r="AR63" s="446" t="s">
        <v>188</v>
      </c>
      <c r="AS63" s="446"/>
      <c r="AT63" s="29">
        <v>0</v>
      </c>
      <c r="AU63" s="214">
        <f t="shared" si="19"/>
        <v>0.0565</v>
      </c>
      <c r="AV63" s="269">
        <f t="shared" si="20"/>
        <v>0</v>
      </c>
      <c r="AW63" s="269">
        <f t="shared" si="21"/>
        <v>0</v>
      </c>
      <c r="AX63" s="198">
        <f t="shared" si="22"/>
        <v>0</v>
      </c>
      <c r="AY63" s="190">
        <v>0</v>
      </c>
      <c r="AZ63" s="214">
        <f t="shared" si="23"/>
        <v>0.0445</v>
      </c>
      <c r="BA63" s="269">
        <f t="shared" si="24"/>
        <v>0</v>
      </c>
      <c r="BB63" s="269">
        <f t="shared" si="25"/>
        <v>0</v>
      </c>
      <c r="BC63" s="198">
        <f t="shared" si="26"/>
        <v>0</v>
      </c>
      <c r="BD63" s="199">
        <f t="shared" si="27"/>
        <v>0</v>
      </c>
      <c r="BE63" s="235" t="s">
        <v>187</v>
      </c>
      <c r="BF63" s="446" t="s">
        <v>188</v>
      </c>
      <c r="BG63" s="446"/>
      <c r="BH63" s="22" t="s">
        <v>54</v>
      </c>
      <c r="BI63" s="200">
        <f t="shared" si="30"/>
        <v>0</v>
      </c>
      <c r="BJ63" s="200">
        <f t="shared" si="31"/>
        <v>0</v>
      </c>
      <c r="BK63" s="197">
        <f t="shared" si="32"/>
        <v>0</v>
      </c>
      <c r="BL63" s="197">
        <f t="shared" si="33"/>
        <v>0</v>
      </c>
      <c r="BM63" s="197"/>
      <c r="BN63" s="201">
        <f t="shared" si="34"/>
        <v>0</v>
      </c>
      <c r="BO63" s="202">
        <f t="shared" si="35"/>
        <v>0</v>
      </c>
      <c r="BP63" s="203">
        <f t="shared" si="36"/>
        <v>0</v>
      </c>
      <c r="BQ63" s="204">
        <f t="shared" si="37"/>
        <v>0</v>
      </c>
      <c r="BR63" s="205">
        <f t="shared" si="38"/>
        <v>0</v>
      </c>
      <c r="BS63" s="206">
        <f t="shared" si="39"/>
        <v>0</v>
      </c>
      <c r="BT63" s="84"/>
    </row>
    <row r="64" spans="1:72" ht="30" customHeight="1">
      <c r="A64" s="24"/>
      <c r="B64" s="235" t="s">
        <v>189</v>
      </c>
      <c r="C64" s="236" t="s">
        <v>190</v>
      </c>
      <c r="D64" s="78" t="s">
        <v>53</v>
      </c>
      <c r="E64" s="307">
        <v>0</v>
      </c>
      <c r="F64" s="214">
        <f t="shared" si="59"/>
        <v>0.0565</v>
      </c>
      <c r="G64" s="197">
        <f t="shared" si="60"/>
        <v>0</v>
      </c>
      <c r="H64" s="197">
        <f t="shared" si="61"/>
        <v>0</v>
      </c>
      <c r="I64" s="198">
        <f t="shared" si="62"/>
        <v>0</v>
      </c>
      <c r="J64" s="257">
        <v>300</v>
      </c>
      <c r="K64" s="214">
        <f t="shared" si="63"/>
        <v>0.0445</v>
      </c>
      <c r="L64" s="197">
        <f t="shared" si="64"/>
        <v>13.35</v>
      </c>
      <c r="M64" s="197">
        <f t="shared" si="65"/>
        <v>0</v>
      </c>
      <c r="N64" s="198">
        <f t="shared" si="66"/>
        <v>13.35</v>
      </c>
      <c r="O64" s="199">
        <f t="shared" si="67"/>
        <v>13.35</v>
      </c>
      <c r="P64" s="235" t="s">
        <v>189</v>
      </c>
      <c r="Q64" s="446" t="s">
        <v>190</v>
      </c>
      <c r="R64" s="446"/>
      <c r="S64" s="76"/>
      <c r="T64" s="22" t="s">
        <v>714</v>
      </c>
      <c r="U64" s="200">
        <f t="shared" si="40"/>
        <v>13.35</v>
      </c>
      <c r="V64" s="200">
        <f t="shared" si="41"/>
        <v>1.38</v>
      </c>
      <c r="W64" s="197">
        <f t="shared" si="42"/>
        <v>5.01</v>
      </c>
      <c r="X64" s="197">
        <f t="shared" si="43"/>
        <v>0.01</v>
      </c>
      <c r="Y64" s="197"/>
      <c r="Z64" s="201">
        <f t="shared" si="44"/>
        <v>14.65</v>
      </c>
      <c r="AA64" s="202">
        <f t="shared" si="45"/>
        <v>34.400000000000006</v>
      </c>
      <c r="AB64" s="203">
        <f t="shared" si="46"/>
        <v>10.32</v>
      </c>
      <c r="AC64" s="204">
        <f t="shared" si="47"/>
        <v>44.720000000000006</v>
      </c>
      <c r="AD64" s="205">
        <f t="shared" si="48"/>
        <v>2.35</v>
      </c>
      <c r="AE64" s="206">
        <f t="shared" si="49"/>
        <v>47.07000000000001</v>
      </c>
      <c r="AF64" s="24"/>
      <c r="AG64" s="235" t="s">
        <v>189</v>
      </c>
      <c r="AH64" s="446" t="s">
        <v>190</v>
      </c>
      <c r="AI64" s="446"/>
      <c r="AJ64" s="78"/>
      <c r="AK64" s="78"/>
      <c r="AL64" s="207">
        <f t="shared" si="17"/>
        <v>47.07000000000001</v>
      </c>
      <c r="AM64" s="207"/>
      <c r="AN64" s="207">
        <f t="shared" si="18"/>
        <v>0</v>
      </c>
      <c r="AO64" s="19"/>
      <c r="AP64" s="24"/>
      <c r="AQ64" s="235" t="s">
        <v>189</v>
      </c>
      <c r="AR64" s="446" t="s">
        <v>190</v>
      </c>
      <c r="AS64" s="446"/>
      <c r="AT64" s="29">
        <v>0</v>
      </c>
      <c r="AU64" s="214">
        <f t="shared" si="19"/>
        <v>0.0565</v>
      </c>
      <c r="AV64" s="269">
        <f t="shared" si="20"/>
        <v>0</v>
      </c>
      <c r="AW64" s="269">
        <f t="shared" si="21"/>
        <v>0</v>
      </c>
      <c r="AX64" s="198">
        <f t="shared" si="22"/>
        <v>0</v>
      </c>
      <c r="AY64" s="190">
        <v>0</v>
      </c>
      <c r="AZ64" s="214">
        <f t="shared" si="23"/>
        <v>0.0445</v>
      </c>
      <c r="BA64" s="269">
        <f t="shared" si="24"/>
        <v>0</v>
      </c>
      <c r="BB64" s="269">
        <f t="shared" si="25"/>
        <v>0</v>
      </c>
      <c r="BC64" s="198">
        <f t="shared" si="26"/>
        <v>0</v>
      </c>
      <c r="BD64" s="199">
        <f t="shared" si="27"/>
        <v>0</v>
      </c>
      <c r="BE64" s="235" t="s">
        <v>189</v>
      </c>
      <c r="BF64" s="446" t="s">
        <v>190</v>
      </c>
      <c r="BG64" s="446"/>
      <c r="BH64" s="22"/>
      <c r="BI64" s="200">
        <f t="shared" si="30"/>
        <v>0</v>
      </c>
      <c r="BJ64" s="200">
        <f t="shared" si="31"/>
        <v>0</v>
      </c>
      <c r="BK64" s="197">
        <f t="shared" si="32"/>
        <v>0</v>
      </c>
      <c r="BL64" s="197">
        <f t="shared" si="33"/>
        <v>0</v>
      </c>
      <c r="BM64" s="197"/>
      <c r="BN64" s="201">
        <f t="shared" si="34"/>
        <v>0</v>
      </c>
      <c r="BO64" s="202">
        <f t="shared" si="35"/>
        <v>0</v>
      </c>
      <c r="BP64" s="203">
        <f t="shared" si="36"/>
        <v>0</v>
      </c>
      <c r="BQ64" s="204">
        <f t="shared" si="37"/>
        <v>0</v>
      </c>
      <c r="BR64" s="205">
        <f t="shared" si="38"/>
        <v>0</v>
      </c>
      <c r="BS64" s="206">
        <f t="shared" si="39"/>
        <v>0</v>
      </c>
      <c r="BT64" s="24"/>
    </row>
    <row r="65" spans="1:72" ht="32.25" customHeight="1">
      <c r="A65" s="24"/>
      <c r="B65" s="235" t="s">
        <v>191</v>
      </c>
      <c r="C65" s="236" t="s">
        <v>192</v>
      </c>
      <c r="D65" s="78" t="s">
        <v>53</v>
      </c>
      <c r="E65" s="307">
        <v>0</v>
      </c>
      <c r="F65" s="214">
        <f t="shared" si="59"/>
        <v>0.0565</v>
      </c>
      <c r="G65" s="197">
        <f t="shared" si="60"/>
        <v>0</v>
      </c>
      <c r="H65" s="197">
        <f t="shared" si="61"/>
        <v>0</v>
      </c>
      <c r="I65" s="198">
        <f t="shared" si="62"/>
        <v>0</v>
      </c>
      <c r="J65" s="257">
        <v>360</v>
      </c>
      <c r="K65" s="214">
        <f t="shared" si="63"/>
        <v>0.0445</v>
      </c>
      <c r="L65" s="197">
        <f t="shared" si="64"/>
        <v>16.02</v>
      </c>
      <c r="M65" s="197">
        <f t="shared" si="65"/>
        <v>0</v>
      </c>
      <c r="N65" s="198">
        <f t="shared" si="66"/>
        <v>16.02</v>
      </c>
      <c r="O65" s="199">
        <f t="shared" si="67"/>
        <v>16.02</v>
      </c>
      <c r="P65" s="235" t="s">
        <v>191</v>
      </c>
      <c r="Q65" s="446" t="s">
        <v>192</v>
      </c>
      <c r="R65" s="446"/>
      <c r="S65" s="76"/>
      <c r="T65" s="22" t="s">
        <v>714</v>
      </c>
      <c r="U65" s="200">
        <f t="shared" si="40"/>
        <v>16.02</v>
      </c>
      <c r="V65" s="200">
        <f t="shared" si="41"/>
        <v>1.66</v>
      </c>
      <c r="W65" s="197">
        <f t="shared" si="42"/>
        <v>6.01</v>
      </c>
      <c r="X65" s="197">
        <f t="shared" si="43"/>
        <v>0.01</v>
      </c>
      <c r="Y65" s="197"/>
      <c r="Z65" s="201">
        <f t="shared" si="44"/>
        <v>17.59</v>
      </c>
      <c r="AA65" s="202">
        <f t="shared" si="45"/>
        <v>41.29</v>
      </c>
      <c r="AB65" s="203">
        <f t="shared" si="46"/>
        <v>12.39</v>
      </c>
      <c r="AC65" s="204">
        <f t="shared" si="47"/>
        <v>53.68</v>
      </c>
      <c r="AD65" s="205">
        <f t="shared" si="48"/>
        <v>2.83</v>
      </c>
      <c r="AE65" s="206">
        <f t="shared" si="49"/>
        <v>56.51</v>
      </c>
      <c r="AF65" s="24"/>
      <c r="AG65" s="235" t="s">
        <v>191</v>
      </c>
      <c r="AH65" s="446" t="s">
        <v>192</v>
      </c>
      <c r="AI65" s="446"/>
      <c r="AJ65" s="78"/>
      <c r="AK65" s="78"/>
      <c r="AL65" s="207">
        <f t="shared" si="17"/>
        <v>56.51</v>
      </c>
      <c r="AM65" s="207"/>
      <c r="AN65" s="207">
        <f t="shared" si="18"/>
        <v>0</v>
      </c>
      <c r="AO65" s="19"/>
      <c r="AP65" s="24"/>
      <c r="AQ65" s="235" t="s">
        <v>191</v>
      </c>
      <c r="AR65" s="446" t="s">
        <v>192</v>
      </c>
      <c r="AS65" s="446"/>
      <c r="AT65" s="29">
        <v>0</v>
      </c>
      <c r="AU65" s="214">
        <f t="shared" si="19"/>
        <v>0.0565</v>
      </c>
      <c r="AV65" s="269">
        <f t="shared" si="20"/>
        <v>0</v>
      </c>
      <c r="AW65" s="269">
        <f t="shared" si="21"/>
        <v>0</v>
      </c>
      <c r="AX65" s="198">
        <f t="shared" si="22"/>
        <v>0</v>
      </c>
      <c r="AY65" s="190">
        <v>0</v>
      </c>
      <c r="AZ65" s="214">
        <f t="shared" si="23"/>
        <v>0.0445</v>
      </c>
      <c r="BA65" s="269">
        <f t="shared" si="24"/>
        <v>0</v>
      </c>
      <c r="BB65" s="269">
        <f t="shared" si="25"/>
        <v>0</v>
      </c>
      <c r="BC65" s="198">
        <f t="shared" si="26"/>
        <v>0</v>
      </c>
      <c r="BD65" s="199">
        <f t="shared" si="27"/>
        <v>0</v>
      </c>
      <c r="BE65" s="235" t="s">
        <v>191</v>
      </c>
      <c r="BF65" s="446" t="s">
        <v>192</v>
      </c>
      <c r="BG65" s="446"/>
      <c r="BH65" s="22"/>
      <c r="BI65" s="200">
        <f t="shared" si="30"/>
        <v>0</v>
      </c>
      <c r="BJ65" s="200">
        <f t="shared" si="31"/>
        <v>0</v>
      </c>
      <c r="BK65" s="197">
        <f t="shared" si="32"/>
        <v>0</v>
      </c>
      <c r="BL65" s="197">
        <f t="shared" si="33"/>
        <v>0</v>
      </c>
      <c r="BM65" s="197"/>
      <c r="BN65" s="201">
        <f t="shared" si="34"/>
        <v>0</v>
      </c>
      <c r="BO65" s="202">
        <f t="shared" si="35"/>
        <v>0</v>
      </c>
      <c r="BP65" s="203">
        <f t="shared" si="36"/>
        <v>0</v>
      </c>
      <c r="BQ65" s="204">
        <f t="shared" si="37"/>
        <v>0</v>
      </c>
      <c r="BR65" s="205">
        <f t="shared" si="38"/>
        <v>0</v>
      </c>
      <c r="BS65" s="206">
        <f t="shared" si="39"/>
        <v>0</v>
      </c>
      <c r="BT65" s="24"/>
    </row>
    <row r="66" spans="1:72" ht="29.25" customHeight="1">
      <c r="A66" s="24"/>
      <c r="B66" s="235" t="s">
        <v>193</v>
      </c>
      <c r="C66" s="236" t="s">
        <v>194</v>
      </c>
      <c r="D66" s="78" t="s">
        <v>53</v>
      </c>
      <c r="E66" s="307">
        <v>0</v>
      </c>
      <c r="F66" s="214">
        <f t="shared" si="59"/>
        <v>0.0565</v>
      </c>
      <c r="G66" s="197">
        <f t="shared" si="60"/>
        <v>0</v>
      </c>
      <c r="H66" s="197">
        <f t="shared" si="61"/>
        <v>0</v>
      </c>
      <c r="I66" s="198">
        <f t="shared" si="62"/>
        <v>0</v>
      </c>
      <c r="J66" s="257">
        <v>420</v>
      </c>
      <c r="K66" s="214">
        <f t="shared" si="63"/>
        <v>0.0445</v>
      </c>
      <c r="L66" s="197">
        <f t="shared" si="64"/>
        <v>18.69</v>
      </c>
      <c r="M66" s="197">
        <f t="shared" si="65"/>
        <v>0</v>
      </c>
      <c r="N66" s="198">
        <f t="shared" si="66"/>
        <v>18.69</v>
      </c>
      <c r="O66" s="199">
        <f t="shared" si="67"/>
        <v>18.69</v>
      </c>
      <c r="P66" s="235" t="s">
        <v>193</v>
      </c>
      <c r="Q66" s="446" t="s">
        <v>194</v>
      </c>
      <c r="R66" s="446"/>
      <c r="S66" s="76"/>
      <c r="T66" s="22" t="s">
        <v>714</v>
      </c>
      <c r="U66" s="200">
        <f t="shared" si="40"/>
        <v>18.69</v>
      </c>
      <c r="V66" s="200">
        <f t="shared" si="41"/>
        <v>1.93</v>
      </c>
      <c r="W66" s="197">
        <f t="shared" si="42"/>
        <v>7.01</v>
      </c>
      <c r="X66" s="197">
        <f t="shared" si="43"/>
        <v>0.02</v>
      </c>
      <c r="Y66" s="197"/>
      <c r="Z66" s="201">
        <f t="shared" si="44"/>
        <v>20.52</v>
      </c>
      <c r="AA66" s="202">
        <f t="shared" si="45"/>
        <v>48.17</v>
      </c>
      <c r="AB66" s="203">
        <f t="shared" si="46"/>
        <v>14.45</v>
      </c>
      <c r="AC66" s="204">
        <f t="shared" si="47"/>
        <v>62.620000000000005</v>
      </c>
      <c r="AD66" s="205">
        <f t="shared" si="48"/>
        <v>3.3</v>
      </c>
      <c r="AE66" s="206">
        <f t="shared" si="49"/>
        <v>65.92</v>
      </c>
      <c r="AF66" s="24"/>
      <c r="AG66" s="235" t="s">
        <v>193</v>
      </c>
      <c r="AH66" s="446" t="s">
        <v>194</v>
      </c>
      <c r="AI66" s="446"/>
      <c r="AJ66" s="78"/>
      <c r="AK66" s="78"/>
      <c r="AL66" s="207">
        <f t="shared" si="17"/>
        <v>65.92</v>
      </c>
      <c r="AM66" s="207"/>
      <c r="AN66" s="207">
        <f t="shared" si="18"/>
        <v>0</v>
      </c>
      <c r="AO66" s="19"/>
      <c r="AP66" s="24"/>
      <c r="AQ66" s="235" t="s">
        <v>193</v>
      </c>
      <c r="AR66" s="446" t="s">
        <v>194</v>
      </c>
      <c r="AS66" s="446"/>
      <c r="AT66" s="29">
        <v>0</v>
      </c>
      <c r="AU66" s="214">
        <f t="shared" si="19"/>
        <v>0.0565</v>
      </c>
      <c r="AV66" s="269">
        <f t="shared" si="20"/>
        <v>0</v>
      </c>
      <c r="AW66" s="269">
        <f t="shared" si="21"/>
        <v>0</v>
      </c>
      <c r="AX66" s="198">
        <f t="shared" si="22"/>
        <v>0</v>
      </c>
      <c r="AY66" s="190">
        <v>0</v>
      </c>
      <c r="AZ66" s="214">
        <f t="shared" si="23"/>
        <v>0.0445</v>
      </c>
      <c r="BA66" s="269">
        <f t="shared" si="24"/>
        <v>0</v>
      </c>
      <c r="BB66" s="269">
        <f t="shared" si="25"/>
        <v>0</v>
      </c>
      <c r="BC66" s="198">
        <f t="shared" si="26"/>
        <v>0</v>
      </c>
      <c r="BD66" s="199">
        <f t="shared" si="27"/>
        <v>0</v>
      </c>
      <c r="BE66" s="235" t="s">
        <v>193</v>
      </c>
      <c r="BF66" s="446" t="s">
        <v>194</v>
      </c>
      <c r="BG66" s="446"/>
      <c r="BH66" s="22"/>
      <c r="BI66" s="200">
        <f t="shared" si="30"/>
        <v>0</v>
      </c>
      <c r="BJ66" s="200">
        <f t="shared" si="31"/>
        <v>0</v>
      </c>
      <c r="BK66" s="197">
        <f t="shared" si="32"/>
        <v>0</v>
      </c>
      <c r="BL66" s="197">
        <f t="shared" si="33"/>
        <v>0</v>
      </c>
      <c r="BM66" s="197"/>
      <c r="BN66" s="201">
        <f t="shared" si="34"/>
        <v>0</v>
      </c>
      <c r="BO66" s="202">
        <f t="shared" si="35"/>
        <v>0</v>
      </c>
      <c r="BP66" s="203">
        <f t="shared" si="36"/>
        <v>0</v>
      </c>
      <c r="BQ66" s="204">
        <f t="shared" si="37"/>
        <v>0</v>
      </c>
      <c r="BR66" s="205">
        <f t="shared" si="38"/>
        <v>0</v>
      </c>
      <c r="BS66" s="206">
        <f t="shared" si="39"/>
        <v>0</v>
      </c>
      <c r="BT66" s="24"/>
    </row>
    <row r="67" spans="1:72" ht="33" customHeight="1">
      <c r="A67" s="84"/>
      <c r="B67" s="235" t="s">
        <v>195</v>
      </c>
      <c r="C67" s="236" t="s">
        <v>196</v>
      </c>
      <c r="D67" s="78" t="s">
        <v>53</v>
      </c>
      <c r="E67" s="307">
        <v>0</v>
      </c>
      <c r="F67" s="214">
        <f t="shared" si="59"/>
        <v>0.0565</v>
      </c>
      <c r="G67" s="197">
        <f t="shared" si="60"/>
        <v>0</v>
      </c>
      <c r="H67" s="197">
        <f t="shared" si="61"/>
        <v>0</v>
      </c>
      <c r="I67" s="198">
        <f t="shared" si="62"/>
        <v>0</v>
      </c>
      <c r="J67" s="257">
        <v>480</v>
      </c>
      <c r="K67" s="214">
        <f t="shared" si="63"/>
        <v>0.0445</v>
      </c>
      <c r="L67" s="197">
        <f t="shared" si="64"/>
        <v>21.36</v>
      </c>
      <c r="M67" s="197">
        <f t="shared" si="65"/>
        <v>0</v>
      </c>
      <c r="N67" s="198">
        <f t="shared" si="66"/>
        <v>21.36</v>
      </c>
      <c r="O67" s="199">
        <f t="shared" si="67"/>
        <v>21.36</v>
      </c>
      <c r="P67" s="235" t="s">
        <v>195</v>
      </c>
      <c r="Q67" s="446" t="s">
        <v>196</v>
      </c>
      <c r="R67" s="446"/>
      <c r="S67" s="76"/>
      <c r="T67" s="22" t="s">
        <v>714</v>
      </c>
      <c r="U67" s="200">
        <f t="shared" si="40"/>
        <v>21.36</v>
      </c>
      <c r="V67" s="200">
        <f t="shared" si="41"/>
        <v>2.21</v>
      </c>
      <c r="W67" s="197">
        <f t="shared" si="42"/>
        <v>8.01</v>
      </c>
      <c r="X67" s="197">
        <f t="shared" si="43"/>
        <v>0.02</v>
      </c>
      <c r="Y67" s="197"/>
      <c r="Z67" s="201">
        <f t="shared" si="44"/>
        <v>23.45</v>
      </c>
      <c r="AA67" s="202">
        <f t="shared" si="45"/>
        <v>55.05</v>
      </c>
      <c r="AB67" s="203">
        <f t="shared" si="46"/>
        <v>16.52</v>
      </c>
      <c r="AC67" s="204">
        <f t="shared" si="47"/>
        <v>71.57</v>
      </c>
      <c r="AD67" s="205">
        <f t="shared" si="48"/>
        <v>3.77</v>
      </c>
      <c r="AE67" s="206">
        <f t="shared" si="49"/>
        <v>75.33999999999999</v>
      </c>
      <c r="AF67" s="84"/>
      <c r="AG67" s="235" t="s">
        <v>195</v>
      </c>
      <c r="AH67" s="446" t="s">
        <v>196</v>
      </c>
      <c r="AI67" s="446"/>
      <c r="AJ67" s="78" t="s">
        <v>54</v>
      </c>
      <c r="AK67" s="78"/>
      <c r="AL67" s="207">
        <f t="shared" si="17"/>
        <v>75.33999999999999</v>
      </c>
      <c r="AM67" s="207"/>
      <c r="AN67" s="207">
        <f t="shared" si="18"/>
        <v>0</v>
      </c>
      <c r="AO67" s="19"/>
      <c r="AP67" s="84"/>
      <c r="AQ67" s="235" t="s">
        <v>195</v>
      </c>
      <c r="AR67" s="446" t="s">
        <v>196</v>
      </c>
      <c r="AS67" s="446"/>
      <c r="AT67" s="29">
        <v>0</v>
      </c>
      <c r="AU67" s="214">
        <f t="shared" si="19"/>
        <v>0.0565</v>
      </c>
      <c r="AV67" s="269">
        <f t="shared" si="20"/>
        <v>0</v>
      </c>
      <c r="AW67" s="269">
        <f t="shared" si="21"/>
        <v>0</v>
      </c>
      <c r="AX67" s="198">
        <f t="shared" si="22"/>
        <v>0</v>
      </c>
      <c r="AY67" s="190">
        <v>0</v>
      </c>
      <c r="AZ67" s="214">
        <f t="shared" si="23"/>
        <v>0.0445</v>
      </c>
      <c r="BA67" s="269">
        <f t="shared" si="24"/>
        <v>0</v>
      </c>
      <c r="BB67" s="269">
        <f t="shared" si="25"/>
        <v>0</v>
      </c>
      <c r="BC67" s="198">
        <f t="shared" si="26"/>
        <v>0</v>
      </c>
      <c r="BD67" s="199">
        <f t="shared" si="27"/>
        <v>0</v>
      </c>
      <c r="BE67" s="235" t="s">
        <v>195</v>
      </c>
      <c r="BF67" s="446" t="s">
        <v>196</v>
      </c>
      <c r="BG67" s="446"/>
      <c r="BH67" s="22" t="s">
        <v>54</v>
      </c>
      <c r="BI67" s="200">
        <f t="shared" si="30"/>
        <v>0</v>
      </c>
      <c r="BJ67" s="200">
        <f t="shared" si="31"/>
        <v>0</v>
      </c>
      <c r="BK67" s="197">
        <f t="shared" si="32"/>
        <v>0</v>
      </c>
      <c r="BL67" s="197">
        <f t="shared" si="33"/>
        <v>0</v>
      </c>
      <c r="BM67" s="197"/>
      <c r="BN67" s="201">
        <f t="shared" si="34"/>
        <v>0</v>
      </c>
      <c r="BO67" s="202">
        <f t="shared" si="35"/>
        <v>0</v>
      </c>
      <c r="BP67" s="203">
        <f t="shared" si="36"/>
        <v>0</v>
      </c>
      <c r="BQ67" s="204">
        <f t="shared" si="37"/>
        <v>0</v>
      </c>
      <c r="BR67" s="205">
        <f t="shared" si="38"/>
        <v>0</v>
      </c>
      <c r="BS67" s="206">
        <f t="shared" si="39"/>
        <v>0</v>
      </c>
      <c r="BT67" s="84"/>
    </row>
    <row r="68" spans="1:72" ht="27.75" customHeight="1">
      <c r="A68" s="84"/>
      <c r="B68" s="235" t="s">
        <v>197</v>
      </c>
      <c r="C68" s="236" t="s">
        <v>198</v>
      </c>
      <c r="D68" s="78" t="s">
        <v>53</v>
      </c>
      <c r="E68" s="307">
        <v>0</v>
      </c>
      <c r="F68" s="214">
        <f t="shared" si="59"/>
        <v>0.0565</v>
      </c>
      <c r="G68" s="197">
        <f t="shared" si="60"/>
        <v>0</v>
      </c>
      <c r="H68" s="197">
        <f t="shared" si="61"/>
        <v>0</v>
      </c>
      <c r="I68" s="198">
        <f t="shared" si="62"/>
        <v>0</v>
      </c>
      <c r="J68" s="257">
        <v>540</v>
      </c>
      <c r="K68" s="214">
        <f t="shared" si="63"/>
        <v>0.0445</v>
      </c>
      <c r="L68" s="197">
        <f t="shared" si="64"/>
        <v>24.03</v>
      </c>
      <c r="M68" s="197">
        <f t="shared" si="65"/>
        <v>0</v>
      </c>
      <c r="N68" s="198">
        <f t="shared" si="66"/>
        <v>24.03</v>
      </c>
      <c r="O68" s="199">
        <f t="shared" si="67"/>
        <v>24.03</v>
      </c>
      <c r="P68" s="235" t="s">
        <v>197</v>
      </c>
      <c r="Q68" s="446" t="s">
        <v>198</v>
      </c>
      <c r="R68" s="446"/>
      <c r="S68" s="76"/>
      <c r="T68" s="22" t="s">
        <v>714</v>
      </c>
      <c r="U68" s="200">
        <f t="shared" si="40"/>
        <v>24.03</v>
      </c>
      <c r="V68" s="200">
        <f t="shared" si="41"/>
        <v>2.49</v>
      </c>
      <c r="W68" s="197">
        <f t="shared" si="42"/>
        <v>9.02</v>
      </c>
      <c r="X68" s="197">
        <f t="shared" si="43"/>
        <v>0.02</v>
      </c>
      <c r="Y68" s="197"/>
      <c r="Z68" s="201">
        <f t="shared" si="44"/>
        <v>26.38</v>
      </c>
      <c r="AA68" s="202">
        <f t="shared" si="45"/>
        <v>61.94000000000001</v>
      </c>
      <c r="AB68" s="203">
        <f t="shared" si="46"/>
        <v>18.58</v>
      </c>
      <c r="AC68" s="204">
        <f t="shared" si="47"/>
        <v>80.52000000000001</v>
      </c>
      <c r="AD68" s="205">
        <f t="shared" si="48"/>
        <v>4.24</v>
      </c>
      <c r="AE68" s="206">
        <f t="shared" si="49"/>
        <v>84.76</v>
      </c>
      <c r="AF68" s="84"/>
      <c r="AG68" s="235" t="s">
        <v>197</v>
      </c>
      <c r="AH68" s="446" t="s">
        <v>198</v>
      </c>
      <c r="AI68" s="446"/>
      <c r="AJ68" s="78" t="s">
        <v>54</v>
      </c>
      <c r="AK68" s="78"/>
      <c r="AL68" s="207">
        <f t="shared" si="17"/>
        <v>84.76</v>
      </c>
      <c r="AM68" s="207"/>
      <c r="AN68" s="207">
        <f t="shared" si="18"/>
        <v>0</v>
      </c>
      <c r="AO68" s="19"/>
      <c r="AP68" s="84"/>
      <c r="AQ68" s="235" t="s">
        <v>197</v>
      </c>
      <c r="AR68" s="446" t="s">
        <v>198</v>
      </c>
      <c r="AS68" s="446"/>
      <c r="AT68" s="29">
        <v>0</v>
      </c>
      <c r="AU68" s="214">
        <f t="shared" si="19"/>
        <v>0.0565</v>
      </c>
      <c r="AV68" s="269">
        <f t="shared" si="20"/>
        <v>0</v>
      </c>
      <c r="AW68" s="269">
        <f t="shared" si="21"/>
        <v>0</v>
      </c>
      <c r="AX68" s="198">
        <f t="shared" si="22"/>
        <v>0</v>
      </c>
      <c r="AY68" s="190">
        <v>0</v>
      </c>
      <c r="AZ68" s="214">
        <f t="shared" si="23"/>
        <v>0.0445</v>
      </c>
      <c r="BA68" s="269">
        <f t="shared" si="24"/>
        <v>0</v>
      </c>
      <c r="BB68" s="269">
        <f t="shared" si="25"/>
        <v>0</v>
      </c>
      <c r="BC68" s="198">
        <f t="shared" si="26"/>
        <v>0</v>
      </c>
      <c r="BD68" s="199">
        <f t="shared" si="27"/>
        <v>0</v>
      </c>
      <c r="BE68" s="235" t="s">
        <v>197</v>
      </c>
      <c r="BF68" s="446" t="s">
        <v>198</v>
      </c>
      <c r="BG68" s="446"/>
      <c r="BH68" s="22" t="s">
        <v>54</v>
      </c>
      <c r="BI68" s="200">
        <f t="shared" si="30"/>
        <v>0</v>
      </c>
      <c r="BJ68" s="200">
        <f t="shared" si="31"/>
        <v>0</v>
      </c>
      <c r="BK68" s="197">
        <f t="shared" si="32"/>
        <v>0</v>
      </c>
      <c r="BL68" s="197">
        <f t="shared" si="33"/>
        <v>0</v>
      </c>
      <c r="BM68" s="197"/>
      <c r="BN68" s="201">
        <f t="shared" si="34"/>
        <v>0</v>
      </c>
      <c r="BO68" s="202">
        <f t="shared" si="35"/>
        <v>0</v>
      </c>
      <c r="BP68" s="203">
        <f t="shared" si="36"/>
        <v>0</v>
      </c>
      <c r="BQ68" s="204">
        <f t="shared" si="37"/>
        <v>0</v>
      </c>
      <c r="BR68" s="205">
        <f t="shared" si="38"/>
        <v>0</v>
      </c>
      <c r="BS68" s="206">
        <f t="shared" si="39"/>
        <v>0</v>
      </c>
      <c r="BT68" s="84"/>
    </row>
    <row r="69" spans="1:72" ht="29.25" customHeight="1">
      <c r="A69" s="84"/>
      <c r="B69" s="235" t="s">
        <v>199</v>
      </c>
      <c r="C69" s="236" t="s">
        <v>200</v>
      </c>
      <c r="D69" s="78" t="s">
        <v>53</v>
      </c>
      <c r="E69" s="307">
        <v>0</v>
      </c>
      <c r="F69" s="214">
        <f t="shared" si="59"/>
        <v>0.0565</v>
      </c>
      <c r="G69" s="197">
        <f t="shared" si="60"/>
        <v>0</v>
      </c>
      <c r="H69" s="197">
        <f t="shared" si="61"/>
        <v>0</v>
      </c>
      <c r="I69" s="198">
        <f t="shared" si="62"/>
        <v>0</v>
      </c>
      <c r="J69" s="257">
        <v>600</v>
      </c>
      <c r="K69" s="214">
        <f t="shared" si="63"/>
        <v>0.0445</v>
      </c>
      <c r="L69" s="197">
        <f t="shared" si="64"/>
        <v>26.7</v>
      </c>
      <c r="M69" s="197">
        <f t="shared" si="65"/>
        <v>0</v>
      </c>
      <c r="N69" s="198">
        <f t="shared" si="66"/>
        <v>26.7</v>
      </c>
      <c r="O69" s="199">
        <f t="shared" si="67"/>
        <v>26.7</v>
      </c>
      <c r="P69" s="235" t="s">
        <v>199</v>
      </c>
      <c r="Q69" s="446" t="s">
        <v>200</v>
      </c>
      <c r="R69" s="446"/>
      <c r="S69" s="76"/>
      <c r="T69" s="22" t="s">
        <v>714</v>
      </c>
      <c r="U69" s="200">
        <f t="shared" si="40"/>
        <v>26.7</v>
      </c>
      <c r="V69" s="200">
        <f t="shared" si="41"/>
        <v>2.76</v>
      </c>
      <c r="W69" s="197">
        <f t="shared" si="42"/>
        <v>10.02</v>
      </c>
      <c r="X69" s="197">
        <f t="shared" si="43"/>
        <v>0.02</v>
      </c>
      <c r="Y69" s="197"/>
      <c r="Z69" s="201">
        <f t="shared" si="44"/>
        <v>29.31</v>
      </c>
      <c r="AA69" s="202">
        <f t="shared" si="45"/>
        <v>68.81</v>
      </c>
      <c r="AB69" s="203">
        <f t="shared" si="46"/>
        <v>20.64</v>
      </c>
      <c r="AC69" s="204">
        <f t="shared" si="47"/>
        <v>89.45</v>
      </c>
      <c r="AD69" s="205">
        <f t="shared" si="48"/>
        <v>4.71</v>
      </c>
      <c r="AE69" s="206">
        <f t="shared" si="49"/>
        <v>94.16</v>
      </c>
      <c r="AF69" s="84"/>
      <c r="AG69" s="235" t="s">
        <v>199</v>
      </c>
      <c r="AH69" s="446" t="s">
        <v>200</v>
      </c>
      <c r="AI69" s="446"/>
      <c r="AJ69" s="78" t="s">
        <v>54</v>
      </c>
      <c r="AK69" s="78"/>
      <c r="AL69" s="207">
        <f t="shared" si="17"/>
        <v>94.16</v>
      </c>
      <c r="AM69" s="207"/>
      <c r="AN69" s="207">
        <f t="shared" si="18"/>
        <v>0</v>
      </c>
      <c r="AO69" s="19"/>
      <c r="AP69" s="84"/>
      <c r="AQ69" s="235" t="s">
        <v>199</v>
      </c>
      <c r="AR69" s="446" t="s">
        <v>200</v>
      </c>
      <c r="AS69" s="446"/>
      <c r="AT69" s="29">
        <v>0</v>
      </c>
      <c r="AU69" s="214">
        <f t="shared" si="19"/>
        <v>0.0565</v>
      </c>
      <c r="AV69" s="269">
        <f t="shared" si="20"/>
        <v>0</v>
      </c>
      <c r="AW69" s="269">
        <f t="shared" si="21"/>
        <v>0</v>
      </c>
      <c r="AX69" s="198">
        <f t="shared" si="22"/>
        <v>0</v>
      </c>
      <c r="AY69" s="190">
        <v>0</v>
      </c>
      <c r="AZ69" s="214">
        <f t="shared" si="23"/>
        <v>0.0445</v>
      </c>
      <c r="BA69" s="269">
        <f t="shared" si="24"/>
        <v>0</v>
      </c>
      <c r="BB69" s="269">
        <f t="shared" si="25"/>
        <v>0</v>
      </c>
      <c r="BC69" s="198">
        <f t="shared" si="26"/>
        <v>0</v>
      </c>
      <c r="BD69" s="199">
        <f t="shared" si="27"/>
        <v>0</v>
      </c>
      <c r="BE69" s="235" t="s">
        <v>199</v>
      </c>
      <c r="BF69" s="446" t="s">
        <v>200</v>
      </c>
      <c r="BG69" s="446"/>
      <c r="BH69" s="22" t="s">
        <v>54</v>
      </c>
      <c r="BI69" s="200">
        <f t="shared" si="30"/>
        <v>0</v>
      </c>
      <c r="BJ69" s="200">
        <f t="shared" si="31"/>
        <v>0</v>
      </c>
      <c r="BK69" s="197">
        <f t="shared" si="32"/>
        <v>0</v>
      </c>
      <c r="BL69" s="197">
        <f t="shared" si="33"/>
        <v>0</v>
      </c>
      <c r="BM69" s="197"/>
      <c r="BN69" s="201">
        <f t="shared" si="34"/>
        <v>0</v>
      </c>
      <c r="BO69" s="202">
        <f t="shared" si="35"/>
        <v>0</v>
      </c>
      <c r="BP69" s="203">
        <f t="shared" si="36"/>
        <v>0</v>
      </c>
      <c r="BQ69" s="204">
        <f t="shared" si="37"/>
        <v>0</v>
      </c>
      <c r="BR69" s="205">
        <f t="shared" si="38"/>
        <v>0</v>
      </c>
      <c r="BS69" s="206">
        <f t="shared" si="39"/>
        <v>0</v>
      </c>
      <c r="BT69" s="84"/>
    </row>
    <row r="70" spans="1:72" ht="18.75" customHeight="1">
      <c r="A70" s="84"/>
      <c r="B70" s="233" t="s">
        <v>201</v>
      </c>
      <c r="C70" s="234" t="s">
        <v>202</v>
      </c>
      <c r="D70" s="251"/>
      <c r="E70" s="255"/>
      <c r="F70" s="256"/>
      <c r="G70" s="253"/>
      <c r="H70" s="253"/>
      <c r="I70" s="254"/>
      <c r="J70" s="257"/>
      <c r="K70" s="255"/>
      <c r="L70" s="253"/>
      <c r="M70" s="253"/>
      <c r="N70" s="254"/>
      <c r="O70" s="220"/>
      <c r="P70" s="233" t="s">
        <v>201</v>
      </c>
      <c r="Q70" s="442" t="s">
        <v>202</v>
      </c>
      <c r="R70" s="442"/>
      <c r="S70" s="76"/>
      <c r="T70" s="219"/>
      <c r="U70" s="253"/>
      <c r="V70" s="253"/>
      <c r="W70" s="253"/>
      <c r="X70" s="253"/>
      <c r="Y70" s="253"/>
      <c r="Z70" s="253"/>
      <c r="AA70" s="253"/>
      <c r="AB70" s="253"/>
      <c r="AC70" s="253"/>
      <c r="AD70" s="253"/>
      <c r="AE70" s="220"/>
      <c r="AF70" s="84"/>
      <c r="AG70" s="233" t="s">
        <v>201</v>
      </c>
      <c r="AH70" s="442" t="s">
        <v>202</v>
      </c>
      <c r="AI70" s="442"/>
      <c r="AJ70" s="78"/>
      <c r="AK70" s="78"/>
      <c r="AL70" s="207"/>
      <c r="AM70" s="207"/>
      <c r="AN70" s="207"/>
      <c r="AO70" s="19"/>
      <c r="AP70" s="84"/>
      <c r="AQ70" s="233" t="s">
        <v>201</v>
      </c>
      <c r="AR70" s="442" t="s">
        <v>202</v>
      </c>
      <c r="AS70" s="442"/>
      <c r="AT70" s="29"/>
      <c r="AU70" s="256"/>
      <c r="AV70" s="254"/>
      <c r="AW70" s="254"/>
      <c r="AX70" s="254"/>
      <c r="AY70" s="255"/>
      <c r="AZ70" s="256"/>
      <c r="BA70" s="254"/>
      <c r="BB70" s="254"/>
      <c r="BC70" s="254"/>
      <c r="BD70" s="220"/>
      <c r="BE70" s="233" t="s">
        <v>201</v>
      </c>
      <c r="BF70" s="442" t="s">
        <v>202</v>
      </c>
      <c r="BG70" s="442"/>
      <c r="BH70" s="219"/>
      <c r="BI70" s="253"/>
      <c r="BJ70" s="253"/>
      <c r="BK70" s="253"/>
      <c r="BL70" s="253"/>
      <c r="BM70" s="253"/>
      <c r="BN70" s="253"/>
      <c r="BO70" s="253"/>
      <c r="BP70" s="253"/>
      <c r="BQ70" s="253"/>
      <c r="BR70" s="253"/>
      <c r="BS70" s="220"/>
      <c r="BT70" s="84"/>
    </row>
    <row r="71" spans="1:72" ht="26.25" customHeight="1">
      <c r="A71" s="84"/>
      <c r="B71" s="235" t="s">
        <v>1016</v>
      </c>
      <c r="C71" s="363" t="s">
        <v>1017</v>
      </c>
      <c r="D71" s="78" t="s">
        <v>53</v>
      </c>
      <c r="E71" s="190">
        <v>50</v>
      </c>
      <c r="F71" s="214">
        <f aca="true" t="shared" si="68" ref="F71:F86">$G$17</f>
        <v>0.0565</v>
      </c>
      <c r="G71" s="197">
        <f aca="true" t="shared" si="69" ref="G71:G86">ROUND(E71*F71,2)</f>
        <v>2.83</v>
      </c>
      <c r="H71" s="197">
        <f aca="true" t="shared" si="70" ref="H71:H86">ROUND(G71*($A$16+$A$17)/100,2)</f>
        <v>0</v>
      </c>
      <c r="I71" s="198">
        <f aca="true" t="shared" si="71" ref="I71:I86">SUM(G71:H71)</f>
        <v>2.83</v>
      </c>
      <c r="J71" s="257">
        <v>0</v>
      </c>
      <c r="K71" s="214">
        <f aca="true" t="shared" si="72" ref="K71:K86">$G$21</f>
        <v>0.0445</v>
      </c>
      <c r="L71" s="197">
        <f aca="true" t="shared" si="73" ref="L71:L86">ROUND(J71*K71,2)</f>
        <v>0</v>
      </c>
      <c r="M71" s="197">
        <f aca="true" t="shared" si="74" ref="M71:M86">ROUND(L71*($A$16+$A$17)/100,2)</f>
        <v>0</v>
      </c>
      <c r="N71" s="198">
        <f aca="true" t="shared" si="75" ref="N71:N86">SUM(L71:M71)</f>
        <v>0</v>
      </c>
      <c r="O71" s="199">
        <f aca="true" t="shared" si="76" ref="O71:O86">SUM(I71,N71)</f>
        <v>2.83</v>
      </c>
      <c r="P71" s="235" t="s">
        <v>1016</v>
      </c>
      <c r="Q71" s="446" t="s">
        <v>1017</v>
      </c>
      <c r="R71" s="446"/>
      <c r="S71" s="76"/>
      <c r="T71" s="22" t="s">
        <v>41</v>
      </c>
      <c r="U71" s="200">
        <f t="shared" si="40"/>
        <v>2.83</v>
      </c>
      <c r="V71" s="200">
        <f t="shared" si="41"/>
        <v>0.29</v>
      </c>
      <c r="W71" s="197">
        <f t="shared" si="42"/>
        <v>1.06</v>
      </c>
      <c r="X71" s="197">
        <f t="shared" si="43"/>
        <v>0</v>
      </c>
      <c r="Y71" s="197"/>
      <c r="Z71" s="201">
        <f t="shared" si="44"/>
        <v>3.11</v>
      </c>
      <c r="AA71" s="202">
        <f t="shared" si="45"/>
        <v>7.289999999999999</v>
      </c>
      <c r="AB71" s="203">
        <f t="shared" si="46"/>
        <v>2.19</v>
      </c>
      <c r="AC71" s="204">
        <f t="shared" si="47"/>
        <v>9.479999999999999</v>
      </c>
      <c r="AD71" s="205">
        <f t="shared" si="48"/>
        <v>0.5</v>
      </c>
      <c r="AE71" s="206">
        <f t="shared" si="49"/>
        <v>9.979999999999999</v>
      </c>
      <c r="AF71" s="84"/>
      <c r="AG71" s="235" t="s">
        <v>1016</v>
      </c>
      <c r="AH71" s="446" t="s">
        <v>1017</v>
      </c>
      <c r="AI71" s="446"/>
      <c r="AJ71" s="78" t="s">
        <v>54</v>
      </c>
      <c r="AK71" s="78"/>
      <c r="AL71" s="207">
        <f t="shared" si="17"/>
        <v>9.979999999999999</v>
      </c>
      <c r="AM71" s="207"/>
      <c r="AN71" s="207">
        <f t="shared" si="18"/>
        <v>0</v>
      </c>
      <c r="AO71" s="19"/>
      <c r="AP71" s="84"/>
      <c r="AQ71" s="235" t="s">
        <v>1016</v>
      </c>
      <c r="AR71" s="446" t="s">
        <v>1017</v>
      </c>
      <c r="AS71" s="446"/>
      <c r="AT71" s="29">
        <v>0</v>
      </c>
      <c r="AU71" s="214">
        <f t="shared" si="19"/>
        <v>0.0565</v>
      </c>
      <c r="AV71" s="269">
        <f t="shared" si="20"/>
        <v>0</v>
      </c>
      <c r="AW71" s="269">
        <f t="shared" si="21"/>
        <v>0</v>
      </c>
      <c r="AX71" s="198">
        <f t="shared" si="22"/>
        <v>0</v>
      </c>
      <c r="AY71" s="190">
        <v>0</v>
      </c>
      <c r="AZ71" s="214">
        <f t="shared" si="23"/>
        <v>0.0445</v>
      </c>
      <c r="BA71" s="269">
        <f t="shared" si="24"/>
        <v>0</v>
      </c>
      <c r="BB71" s="269">
        <f t="shared" si="25"/>
        <v>0</v>
      </c>
      <c r="BC71" s="198">
        <f t="shared" si="26"/>
        <v>0</v>
      </c>
      <c r="BD71" s="199">
        <f t="shared" si="27"/>
        <v>0</v>
      </c>
      <c r="BE71" s="235" t="s">
        <v>1016</v>
      </c>
      <c r="BF71" s="446" t="s">
        <v>1017</v>
      </c>
      <c r="BG71" s="446"/>
      <c r="BH71" s="22" t="s">
        <v>54</v>
      </c>
      <c r="BI71" s="200">
        <f t="shared" si="30"/>
        <v>0</v>
      </c>
      <c r="BJ71" s="200">
        <f t="shared" si="31"/>
        <v>0</v>
      </c>
      <c r="BK71" s="197">
        <f t="shared" si="32"/>
        <v>0</v>
      </c>
      <c r="BL71" s="197">
        <f t="shared" si="33"/>
        <v>0</v>
      </c>
      <c r="BM71" s="197"/>
      <c r="BN71" s="201">
        <f t="shared" si="34"/>
        <v>0</v>
      </c>
      <c r="BO71" s="202">
        <f t="shared" si="35"/>
        <v>0</v>
      </c>
      <c r="BP71" s="203">
        <f t="shared" si="36"/>
        <v>0</v>
      </c>
      <c r="BQ71" s="204">
        <f t="shared" si="37"/>
        <v>0</v>
      </c>
      <c r="BR71" s="205">
        <f t="shared" si="38"/>
        <v>0</v>
      </c>
      <c r="BS71" s="206">
        <f t="shared" si="39"/>
        <v>0</v>
      </c>
      <c r="BT71" s="84"/>
    </row>
    <row r="72" spans="1:72" ht="105.75" customHeight="1">
      <c r="A72" s="84"/>
      <c r="B72" s="235" t="s">
        <v>203</v>
      </c>
      <c r="C72" s="236" t="s">
        <v>204</v>
      </c>
      <c r="D72" s="78" t="s">
        <v>53</v>
      </c>
      <c r="E72" s="190">
        <v>220</v>
      </c>
      <c r="F72" s="214">
        <f t="shared" si="68"/>
        <v>0.0565</v>
      </c>
      <c r="G72" s="197">
        <f>ROUND(E72*F72,2)</f>
        <v>12.43</v>
      </c>
      <c r="H72" s="197">
        <f>ROUND(G72*($A$16+$A$17)/100,2)</f>
        <v>0</v>
      </c>
      <c r="I72" s="198">
        <f>SUM(G72:H72)</f>
        <v>12.43</v>
      </c>
      <c r="J72" s="257">
        <v>0</v>
      </c>
      <c r="K72" s="214">
        <f t="shared" si="72"/>
        <v>0.0445</v>
      </c>
      <c r="L72" s="197">
        <f>ROUND(J72*K72,2)</f>
        <v>0</v>
      </c>
      <c r="M72" s="197">
        <f>ROUND(L72*($A$16+$A$17)/100,2)</f>
        <v>0</v>
      </c>
      <c r="N72" s="198">
        <f>SUM(L72:M72)</f>
        <v>0</v>
      </c>
      <c r="O72" s="199">
        <f>SUM(I72,N72)</f>
        <v>12.43</v>
      </c>
      <c r="P72" s="235" t="s">
        <v>203</v>
      </c>
      <c r="Q72" s="446" t="s">
        <v>204</v>
      </c>
      <c r="R72" s="446"/>
      <c r="S72" s="76"/>
      <c r="T72" s="22" t="s">
        <v>41</v>
      </c>
      <c r="U72" s="200">
        <f>O72</f>
        <v>12.43</v>
      </c>
      <c r="V72" s="200">
        <f>ROUND(U72*$S$19,2)</f>
        <v>1.29</v>
      </c>
      <c r="W72" s="197">
        <f>ROUND(SUM(U72:V72)*$AA$19,2)</f>
        <v>4.66</v>
      </c>
      <c r="X72" s="197">
        <f>ROUND(SUM(U72:V72)*$AA$21,2)</f>
        <v>0.01</v>
      </c>
      <c r="Y72" s="197"/>
      <c r="Z72" s="201">
        <f>ROUND(U72*$S$20,2)</f>
        <v>13.64</v>
      </c>
      <c r="AA72" s="202">
        <f>SUM(U72:Z72)</f>
        <v>32.03</v>
      </c>
      <c r="AB72" s="203">
        <f>ROUND(AA72*$S$21,2)</f>
        <v>9.61</v>
      </c>
      <c r="AC72" s="204">
        <f>SUM(AA72:AB72)</f>
        <v>41.64</v>
      </c>
      <c r="AD72" s="205">
        <f>ROUND(AC72*$AD$19/95,2)</f>
        <v>2.19</v>
      </c>
      <c r="AE72" s="206">
        <f>SUM(AC72:AD72)</f>
        <v>43.83</v>
      </c>
      <c r="AF72" s="84"/>
      <c r="AG72" s="235" t="s">
        <v>203</v>
      </c>
      <c r="AH72" s="446" t="s">
        <v>204</v>
      </c>
      <c r="AI72" s="446"/>
      <c r="AJ72" s="78" t="s">
        <v>54</v>
      </c>
      <c r="AK72" s="78"/>
      <c r="AL72" s="207">
        <f>AE72</f>
        <v>43.83</v>
      </c>
      <c r="AM72" s="207"/>
      <c r="AN72" s="207">
        <f>BS72</f>
        <v>0</v>
      </c>
      <c r="AO72" s="19"/>
      <c r="AP72" s="84"/>
      <c r="AQ72" s="235" t="s">
        <v>203</v>
      </c>
      <c r="AR72" s="446" t="s">
        <v>204</v>
      </c>
      <c r="AS72" s="446"/>
      <c r="AT72" s="29">
        <v>0</v>
      </c>
      <c r="AU72" s="214">
        <f t="shared" si="19"/>
        <v>0.0565</v>
      </c>
      <c r="AV72" s="269">
        <f>ROUND(AT72*AU72,2)</f>
        <v>0</v>
      </c>
      <c r="AW72" s="269">
        <f>ROUND(AV72*($A$16+$A$17)/100,2)</f>
        <v>0</v>
      </c>
      <c r="AX72" s="198">
        <f>SUM(AV72:AW72)</f>
        <v>0</v>
      </c>
      <c r="AY72" s="190">
        <v>0</v>
      </c>
      <c r="AZ72" s="214">
        <f t="shared" si="23"/>
        <v>0.0445</v>
      </c>
      <c r="BA72" s="269">
        <f>ROUND(AY72*AZ72,2)</f>
        <v>0</v>
      </c>
      <c r="BB72" s="269">
        <f>ROUND(BA72*($A$16+$A$17)/100,2)</f>
        <v>0</v>
      </c>
      <c r="BC72" s="198">
        <f>SUM(BA72:BB72)</f>
        <v>0</v>
      </c>
      <c r="BD72" s="199">
        <f>SUM(AX72,BC72)</f>
        <v>0</v>
      </c>
      <c r="BE72" s="235" t="s">
        <v>203</v>
      </c>
      <c r="BF72" s="446" t="s">
        <v>204</v>
      </c>
      <c r="BG72" s="446"/>
      <c r="BH72" s="22" t="s">
        <v>54</v>
      </c>
      <c r="BI72" s="200">
        <f>BD72</f>
        <v>0</v>
      </c>
      <c r="BJ72" s="200">
        <f>ROUND(BI72*$S$19,2)</f>
        <v>0</v>
      </c>
      <c r="BK72" s="197">
        <f>ROUND(SUM(BI72:BJ72)*$AA$19,2)</f>
        <v>0</v>
      </c>
      <c r="BL72" s="197">
        <f>ROUND(SUM(BI72:BJ72)*$AA$21,2)</f>
        <v>0</v>
      </c>
      <c r="BM72" s="197"/>
      <c r="BN72" s="201">
        <f>ROUND(BI72*$S$20,2)</f>
        <v>0</v>
      </c>
      <c r="BO72" s="202">
        <f>SUM(BI72:BN72)</f>
        <v>0</v>
      </c>
      <c r="BP72" s="203">
        <f>ROUND(BO72*$S$21,2)</f>
        <v>0</v>
      </c>
      <c r="BQ72" s="204">
        <f>SUM(BO72:BP72)</f>
        <v>0</v>
      </c>
      <c r="BR72" s="205">
        <f>ROUND(BQ72*$AD$19/95,2)</f>
        <v>0</v>
      </c>
      <c r="BS72" s="206">
        <f>SUM(BQ72:BR72)</f>
        <v>0</v>
      </c>
      <c r="BT72" s="84"/>
    </row>
    <row r="73" spans="1:72" ht="108.75" customHeight="1">
      <c r="A73" s="84"/>
      <c r="B73" s="235" t="s">
        <v>205</v>
      </c>
      <c r="C73" s="236" t="s">
        <v>206</v>
      </c>
      <c r="D73" s="78" t="s">
        <v>53</v>
      </c>
      <c r="E73" s="190">
        <v>320</v>
      </c>
      <c r="F73" s="214">
        <f t="shared" si="68"/>
        <v>0.0565</v>
      </c>
      <c r="G73" s="197">
        <f t="shared" si="69"/>
        <v>18.08</v>
      </c>
      <c r="H73" s="197">
        <f t="shared" si="70"/>
        <v>0</v>
      </c>
      <c r="I73" s="198">
        <f t="shared" si="71"/>
        <v>18.08</v>
      </c>
      <c r="J73" s="257">
        <v>0</v>
      </c>
      <c r="K73" s="214">
        <f t="shared" si="72"/>
        <v>0.0445</v>
      </c>
      <c r="L73" s="197">
        <f t="shared" si="73"/>
        <v>0</v>
      </c>
      <c r="M73" s="197">
        <f t="shared" si="74"/>
        <v>0</v>
      </c>
      <c r="N73" s="198">
        <f t="shared" si="75"/>
        <v>0</v>
      </c>
      <c r="O73" s="199">
        <f t="shared" si="76"/>
        <v>18.08</v>
      </c>
      <c r="P73" s="235" t="s">
        <v>205</v>
      </c>
      <c r="Q73" s="446" t="s">
        <v>206</v>
      </c>
      <c r="R73" s="446"/>
      <c r="S73" s="76"/>
      <c r="T73" s="22" t="s">
        <v>41</v>
      </c>
      <c r="U73" s="200">
        <f t="shared" si="40"/>
        <v>18.08</v>
      </c>
      <c r="V73" s="200">
        <f t="shared" si="41"/>
        <v>1.87</v>
      </c>
      <c r="W73" s="197">
        <f t="shared" si="42"/>
        <v>6.78</v>
      </c>
      <c r="X73" s="197">
        <f t="shared" si="43"/>
        <v>0.02</v>
      </c>
      <c r="Y73" s="197"/>
      <c r="Z73" s="201">
        <f t="shared" si="44"/>
        <v>19.85</v>
      </c>
      <c r="AA73" s="202">
        <f t="shared" si="45"/>
        <v>46.6</v>
      </c>
      <c r="AB73" s="203">
        <f t="shared" si="46"/>
        <v>13.98</v>
      </c>
      <c r="AC73" s="204">
        <f t="shared" si="47"/>
        <v>60.58</v>
      </c>
      <c r="AD73" s="205">
        <f t="shared" si="48"/>
        <v>3.19</v>
      </c>
      <c r="AE73" s="206">
        <f t="shared" si="49"/>
        <v>63.769999999999996</v>
      </c>
      <c r="AF73" s="84"/>
      <c r="AG73" s="235" t="s">
        <v>205</v>
      </c>
      <c r="AH73" s="446" t="s">
        <v>206</v>
      </c>
      <c r="AI73" s="446"/>
      <c r="AJ73" s="78" t="s">
        <v>54</v>
      </c>
      <c r="AK73" s="78"/>
      <c r="AL73" s="207">
        <f t="shared" si="17"/>
        <v>63.769999999999996</v>
      </c>
      <c r="AM73" s="207"/>
      <c r="AN73" s="207">
        <f t="shared" si="18"/>
        <v>0</v>
      </c>
      <c r="AO73" s="19"/>
      <c r="AP73" s="84"/>
      <c r="AQ73" s="235" t="s">
        <v>205</v>
      </c>
      <c r="AR73" s="446" t="s">
        <v>206</v>
      </c>
      <c r="AS73" s="446"/>
      <c r="AT73" s="29">
        <v>0</v>
      </c>
      <c r="AU73" s="214">
        <f t="shared" si="19"/>
        <v>0.0565</v>
      </c>
      <c r="AV73" s="269">
        <f t="shared" si="20"/>
        <v>0</v>
      </c>
      <c r="AW73" s="269">
        <f t="shared" si="21"/>
        <v>0</v>
      </c>
      <c r="AX73" s="198">
        <f t="shared" si="22"/>
        <v>0</v>
      </c>
      <c r="AY73" s="190">
        <v>0</v>
      </c>
      <c r="AZ73" s="214">
        <f t="shared" si="23"/>
        <v>0.0445</v>
      </c>
      <c r="BA73" s="269">
        <f t="shared" si="24"/>
        <v>0</v>
      </c>
      <c r="BB73" s="269">
        <f t="shared" si="25"/>
        <v>0</v>
      </c>
      <c r="BC73" s="198">
        <f t="shared" si="26"/>
        <v>0</v>
      </c>
      <c r="BD73" s="199">
        <f t="shared" si="27"/>
        <v>0</v>
      </c>
      <c r="BE73" s="235" t="s">
        <v>205</v>
      </c>
      <c r="BF73" s="446" t="s">
        <v>206</v>
      </c>
      <c r="BG73" s="446"/>
      <c r="BH73" s="22" t="s">
        <v>54</v>
      </c>
      <c r="BI73" s="200">
        <f t="shared" si="30"/>
        <v>0</v>
      </c>
      <c r="BJ73" s="200">
        <f t="shared" si="31"/>
        <v>0</v>
      </c>
      <c r="BK73" s="197">
        <f t="shared" si="32"/>
        <v>0</v>
      </c>
      <c r="BL73" s="197">
        <f t="shared" si="33"/>
        <v>0</v>
      </c>
      <c r="BM73" s="197"/>
      <c r="BN73" s="201">
        <f t="shared" si="34"/>
        <v>0</v>
      </c>
      <c r="BO73" s="202">
        <f t="shared" si="35"/>
        <v>0</v>
      </c>
      <c r="BP73" s="203">
        <f t="shared" si="36"/>
        <v>0</v>
      </c>
      <c r="BQ73" s="204">
        <f t="shared" si="37"/>
        <v>0</v>
      </c>
      <c r="BR73" s="205">
        <f t="shared" si="38"/>
        <v>0</v>
      </c>
      <c r="BS73" s="206">
        <f t="shared" si="39"/>
        <v>0</v>
      </c>
      <c r="BT73" s="84"/>
    </row>
    <row r="74" spans="1:72" ht="111" customHeight="1">
      <c r="A74" s="84"/>
      <c r="B74" s="235" t="s">
        <v>207</v>
      </c>
      <c r="C74" s="236" t="s">
        <v>208</v>
      </c>
      <c r="D74" s="78" t="s">
        <v>53</v>
      </c>
      <c r="E74" s="190">
        <v>620</v>
      </c>
      <c r="F74" s="214">
        <f t="shared" si="68"/>
        <v>0.0565</v>
      </c>
      <c r="G74" s="197">
        <f t="shared" si="69"/>
        <v>35.03</v>
      </c>
      <c r="H74" s="197">
        <f t="shared" si="70"/>
        <v>0</v>
      </c>
      <c r="I74" s="198">
        <f t="shared" si="71"/>
        <v>35.03</v>
      </c>
      <c r="J74" s="257">
        <v>0</v>
      </c>
      <c r="K74" s="214">
        <f t="shared" si="72"/>
        <v>0.0445</v>
      </c>
      <c r="L74" s="197">
        <f t="shared" si="73"/>
        <v>0</v>
      </c>
      <c r="M74" s="197">
        <f t="shared" si="74"/>
        <v>0</v>
      </c>
      <c r="N74" s="198">
        <f t="shared" si="75"/>
        <v>0</v>
      </c>
      <c r="O74" s="199">
        <f t="shared" si="76"/>
        <v>35.03</v>
      </c>
      <c r="P74" s="235" t="s">
        <v>207</v>
      </c>
      <c r="Q74" s="446" t="s">
        <v>208</v>
      </c>
      <c r="R74" s="446"/>
      <c r="S74" s="76"/>
      <c r="T74" s="22" t="s">
        <v>41</v>
      </c>
      <c r="U74" s="200">
        <f t="shared" si="40"/>
        <v>35.03</v>
      </c>
      <c r="V74" s="200">
        <f t="shared" si="41"/>
        <v>3.63</v>
      </c>
      <c r="W74" s="197">
        <f t="shared" si="42"/>
        <v>13.14</v>
      </c>
      <c r="X74" s="197">
        <f t="shared" si="43"/>
        <v>0.03</v>
      </c>
      <c r="Y74" s="197"/>
      <c r="Z74" s="201">
        <f t="shared" si="44"/>
        <v>38.45</v>
      </c>
      <c r="AA74" s="202">
        <f t="shared" si="45"/>
        <v>90.28</v>
      </c>
      <c r="AB74" s="203">
        <f t="shared" si="46"/>
        <v>27.08</v>
      </c>
      <c r="AC74" s="204">
        <f t="shared" si="47"/>
        <v>117.36</v>
      </c>
      <c r="AD74" s="205">
        <f t="shared" si="48"/>
        <v>6.18</v>
      </c>
      <c r="AE74" s="206">
        <f t="shared" si="49"/>
        <v>123.53999999999999</v>
      </c>
      <c r="AF74" s="84"/>
      <c r="AG74" s="235" t="s">
        <v>207</v>
      </c>
      <c r="AH74" s="446" t="s">
        <v>208</v>
      </c>
      <c r="AI74" s="446"/>
      <c r="AJ74" s="78" t="s">
        <v>54</v>
      </c>
      <c r="AK74" s="78"/>
      <c r="AL74" s="207">
        <f t="shared" si="17"/>
        <v>123.53999999999999</v>
      </c>
      <c r="AM74" s="207"/>
      <c r="AN74" s="207">
        <f t="shared" si="18"/>
        <v>0</v>
      </c>
      <c r="AO74" s="19"/>
      <c r="AP74" s="84"/>
      <c r="AQ74" s="235" t="s">
        <v>207</v>
      </c>
      <c r="AR74" s="446" t="s">
        <v>208</v>
      </c>
      <c r="AS74" s="446"/>
      <c r="AT74" s="29">
        <v>0</v>
      </c>
      <c r="AU74" s="214">
        <f t="shared" si="19"/>
        <v>0.0565</v>
      </c>
      <c r="AV74" s="269">
        <f t="shared" si="20"/>
        <v>0</v>
      </c>
      <c r="AW74" s="269">
        <f t="shared" si="21"/>
        <v>0</v>
      </c>
      <c r="AX74" s="198">
        <f t="shared" si="22"/>
        <v>0</v>
      </c>
      <c r="AY74" s="190">
        <v>0</v>
      </c>
      <c r="AZ74" s="214">
        <f t="shared" si="23"/>
        <v>0.0445</v>
      </c>
      <c r="BA74" s="269">
        <f t="shared" si="24"/>
        <v>0</v>
      </c>
      <c r="BB74" s="269">
        <f t="shared" si="25"/>
        <v>0</v>
      </c>
      <c r="BC74" s="198">
        <f t="shared" si="26"/>
        <v>0</v>
      </c>
      <c r="BD74" s="199">
        <f t="shared" si="27"/>
        <v>0</v>
      </c>
      <c r="BE74" s="235" t="s">
        <v>207</v>
      </c>
      <c r="BF74" s="446" t="s">
        <v>208</v>
      </c>
      <c r="BG74" s="446"/>
      <c r="BH74" s="22" t="s">
        <v>54</v>
      </c>
      <c r="BI74" s="200">
        <f t="shared" si="30"/>
        <v>0</v>
      </c>
      <c r="BJ74" s="200">
        <f t="shared" si="31"/>
        <v>0</v>
      </c>
      <c r="BK74" s="197">
        <f t="shared" si="32"/>
        <v>0</v>
      </c>
      <c r="BL74" s="197">
        <f t="shared" si="33"/>
        <v>0</v>
      </c>
      <c r="BM74" s="197"/>
      <c r="BN74" s="201">
        <f t="shared" si="34"/>
        <v>0</v>
      </c>
      <c r="BO74" s="202">
        <f t="shared" si="35"/>
        <v>0</v>
      </c>
      <c r="BP74" s="203">
        <f t="shared" si="36"/>
        <v>0</v>
      </c>
      <c r="BQ74" s="204">
        <f t="shared" si="37"/>
        <v>0</v>
      </c>
      <c r="BR74" s="205">
        <f t="shared" si="38"/>
        <v>0</v>
      </c>
      <c r="BS74" s="206">
        <f t="shared" si="39"/>
        <v>0</v>
      </c>
      <c r="BT74" s="84"/>
    </row>
    <row r="75" spans="1:72" ht="112.5" customHeight="1">
      <c r="A75" s="84"/>
      <c r="B75" s="235" t="s">
        <v>209</v>
      </c>
      <c r="C75" s="236" t="s">
        <v>210</v>
      </c>
      <c r="D75" s="78" t="s">
        <v>53</v>
      </c>
      <c r="E75" s="190">
        <v>920</v>
      </c>
      <c r="F75" s="214">
        <f t="shared" si="68"/>
        <v>0.0565</v>
      </c>
      <c r="G75" s="197">
        <f t="shared" si="69"/>
        <v>51.98</v>
      </c>
      <c r="H75" s="197">
        <f t="shared" si="70"/>
        <v>0</v>
      </c>
      <c r="I75" s="198">
        <f t="shared" si="71"/>
        <v>51.98</v>
      </c>
      <c r="J75" s="257"/>
      <c r="K75" s="214">
        <f t="shared" si="72"/>
        <v>0.0445</v>
      </c>
      <c r="L75" s="197">
        <f t="shared" si="73"/>
        <v>0</v>
      </c>
      <c r="M75" s="197">
        <f t="shared" si="74"/>
        <v>0</v>
      </c>
      <c r="N75" s="198">
        <f t="shared" si="75"/>
        <v>0</v>
      </c>
      <c r="O75" s="199">
        <f t="shared" si="76"/>
        <v>51.98</v>
      </c>
      <c r="P75" s="235" t="s">
        <v>209</v>
      </c>
      <c r="Q75" s="446" t="s">
        <v>210</v>
      </c>
      <c r="R75" s="446"/>
      <c r="S75" s="76"/>
      <c r="T75" s="22" t="s">
        <v>41</v>
      </c>
      <c r="U75" s="200">
        <f t="shared" si="40"/>
        <v>51.98</v>
      </c>
      <c r="V75" s="200">
        <f t="shared" si="41"/>
        <v>5.38</v>
      </c>
      <c r="W75" s="197">
        <f t="shared" si="42"/>
        <v>19.5</v>
      </c>
      <c r="X75" s="197">
        <f t="shared" si="43"/>
        <v>0.05</v>
      </c>
      <c r="Y75" s="197"/>
      <c r="Z75" s="201">
        <f t="shared" si="44"/>
        <v>57.06</v>
      </c>
      <c r="AA75" s="202">
        <f t="shared" si="45"/>
        <v>133.97</v>
      </c>
      <c r="AB75" s="203">
        <f t="shared" si="46"/>
        <v>40.19</v>
      </c>
      <c r="AC75" s="204">
        <f t="shared" si="47"/>
        <v>174.16</v>
      </c>
      <c r="AD75" s="205">
        <f t="shared" si="48"/>
        <v>9.17</v>
      </c>
      <c r="AE75" s="206">
        <f t="shared" si="49"/>
        <v>183.32999999999998</v>
      </c>
      <c r="AF75" s="84"/>
      <c r="AG75" s="235" t="s">
        <v>209</v>
      </c>
      <c r="AH75" s="446" t="s">
        <v>210</v>
      </c>
      <c r="AI75" s="446"/>
      <c r="AJ75" s="78" t="s">
        <v>54</v>
      </c>
      <c r="AK75" s="78"/>
      <c r="AL75" s="207">
        <f t="shared" si="17"/>
        <v>183.32999999999998</v>
      </c>
      <c r="AM75" s="207"/>
      <c r="AN75" s="207">
        <f t="shared" si="18"/>
        <v>0</v>
      </c>
      <c r="AO75" s="19"/>
      <c r="AP75" s="84"/>
      <c r="AQ75" s="235" t="s">
        <v>209</v>
      </c>
      <c r="AR75" s="446" t="s">
        <v>210</v>
      </c>
      <c r="AS75" s="446"/>
      <c r="AT75" s="29">
        <v>0</v>
      </c>
      <c r="AU75" s="214">
        <f t="shared" si="19"/>
        <v>0.0565</v>
      </c>
      <c r="AV75" s="269">
        <f t="shared" si="20"/>
        <v>0</v>
      </c>
      <c r="AW75" s="269">
        <f t="shared" si="21"/>
        <v>0</v>
      </c>
      <c r="AX75" s="198">
        <f t="shared" si="22"/>
        <v>0</v>
      </c>
      <c r="AY75" s="190">
        <v>0</v>
      </c>
      <c r="AZ75" s="214">
        <f t="shared" si="23"/>
        <v>0.0445</v>
      </c>
      <c r="BA75" s="269">
        <f t="shared" si="24"/>
        <v>0</v>
      </c>
      <c r="BB75" s="269">
        <f t="shared" si="25"/>
        <v>0</v>
      </c>
      <c r="BC75" s="198">
        <f t="shared" si="26"/>
        <v>0</v>
      </c>
      <c r="BD75" s="199">
        <f t="shared" si="27"/>
        <v>0</v>
      </c>
      <c r="BE75" s="235" t="s">
        <v>209</v>
      </c>
      <c r="BF75" s="446" t="s">
        <v>210</v>
      </c>
      <c r="BG75" s="446"/>
      <c r="BH75" s="22" t="s">
        <v>54</v>
      </c>
      <c r="BI75" s="200">
        <f t="shared" si="30"/>
        <v>0</v>
      </c>
      <c r="BJ75" s="200">
        <f t="shared" si="31"/>
        <v>0</v>
      </c>
      <c r="BK75" s="197">
        <f t="shared" si="32"/>
        <v>0</v>
      </c>
      <c r="BL75" s="197">
        <f t="shared" si="33"/>
        <v>0</v>
      </c>
      <c r="BM75" s="197"/>
      <c r="BN75" s="201">
        <f t="shared" si="34"/>
        <v>0</v>
      </c>
      <c r="BO75" s="202">
        <f t="shared" si="35"/>
        <v>0</v>
      </c>
      <c r="BP75" s="203">
        <f t="shared" si="36"/>
        <v>0</v>
      </c>
      <c r="BQ75" s="204">
        <f t="shared" si="37"/>
        <v>0</v>
      </c>
      <c r="BR75" s="205">
        <f t="shared" si="38"/>
        <v>0</v>
      </c>
      <c r="BS75" s="206">
        <f t="shared" si="39"/>
        <v>0</v>
      </c>
      <c r="BT75" s="84"/>
    </row>
    <row r="76" spans="1:72" ht="66.75" customHeight="1">
      <c r="A76" s="84"/>
      <c r="B76" s="235" t="s">
        <v>211</v>
      </c>
      <c r="C76" s="236" t="s">
        <v>212</v>
      </c>
      <c r="D76" s="78" t="s">
        <v>53</v>
      </c>
      <c r="E76" s="190">
        <v>160</v>
      </c>
      <c r="F76" s="214">
        <f t="shared" si="68"/>
        <v>0.0565</v>
      </c>
      <c r="G76" s="197">
        <f t="shared" si="69"/>
        <v>9.04</v>
      </c>
      <c r="H76" s="197">
        <f t="shared" si="70"/>
        <v>0</v>
      </c>
      <c r="I76" s="198">
        <f t="shared" si="71"/>
        <v>9.04</v>
      </c>
      <c r="J76" s="257">
        <v>0</v>
      </c>
      <c r="K76" s="214">
        <f t="shared" si="72"/>
        <v>0.0445</v>
      </c>
      <c r="L76" s="197">
        <f t="shared" si="73"/>
        <v>0</v>
      </c>
      <c r="M76" s="197">
        <f t="shared" si="74"/>
        <v>0</v>
      </c>
      <c r="N76" s="198">
        <f t="shared" si="75"/>
        <v>0</v>
      </c>
      <c r="O76" s="199">
        <f t="shared" si="76"/>
        <v>9.04</v>
      </c>
      <c r="P76" s="235" t="s">
        <v>211</v>
      </c>
      <c r="Q76" s="446" t="s">
        <v>212</v>
      </c>
      <c r="R76" s="446"/>
      <c r="S76" s="76"/>
      <c r="T76" s="22" t="s">
        <v>41</v>
      </c>
      <c r="U76" s="200">
        <f t="shared" si="40"/>
        <v>9.04</v>
      </c>
      <c r="V76" s="200">
        <f t="shared" si="41"/>
        <v>0.94</v>
      </c>
      <c r="W76" s="197">
        <f t="shared" si="42"/>
        <v>3.39</v>
      </c>
      <c r="X76" s="197">
        <f t="shared" si="43"/>
        <v>0.01</v>
      </c>
      <c r="Y76" s="197"/>
      <c r="Z76" s="201">
        <f t="shared" si="44"/>
        <v>9.92</v>
      </c>
      <c r="AA76" s="202">
        <f t="shared" si="45"/>
        <v>23.299999999999997</v>
      </c>
      <c r="AB76" s="203">
        <f t="shared" si="46"/>
        <v>6.99</v>
      </c>
      <c r="AC76" s="204">
        <f t="shared" si="47"/>
        <v>30.29</v>
      </c>
      <c r="AD76" s="205">
        <f t="shared" si="48"/>
        <v>1.59</v>
      </c>
      <c r="AE76" s="206">
        <f t="shared" si="49"/>
        <v>31.88</v>
      </c>
      <c r="AF76" s="84"/>
      <c r="AG76" s="235" t="s">
        <v>211</v>
      </c>
      <c r="AH76" s="446" t="s">
        <v>212</v>
      </c>
      <c r="AI76" s="446"/>
      <c r="AJ76" s="78" t="s">
        <v>54</v>
      </c>
      <c r="AK76" s="78"/>
      <c r="AL76" s="207">
        <f t="shared" si="17"/>
        <v>31.88</v>
      </c>
      <c r="AM76" s="207"/>
      <c r="AN76" s="207">
        <f t="shared" si="18"/>
        <v>0</v>
      </c>
      <c r="AO76" s="19"/>
      <c r="AP76" s="84"/>
      <c r="AQ76" s="235" t="s">
        <v>211</v>
      </c>
      <c r="AR76" s="446" t="s">
        <v>212</v>
      </c>
      <c r="AS76" s="446"/>
      <c r="AT76" s="29">
        <v>0</v>
      </c>
      <c r="AU76" s="214">
        <f t="shared" si="19"/>
        <v>0.0565</v>
      </c>
      <c r="AV76" s="269">
        <f t="shared" si="20"/>
        <v>0</v>
      </c>
      <c r="AW76" s="269">
        <f t="shared" si="21"/>
        <v>0</v>
      </c>
      <c r="AX76" s="198">
        <f t="shared" si="22"/>
        <v>0</v>
      </c>
      <c r="AY76" s="190">
        <v>0</v>
      </c>
      <c r="AZ76" s="214">
        <f t="shared" si="23"/>
        <v>0.0445</v>
      </c>
      <c r="BA76" s="269">
        <f t="shared" si="24"/>
        <v>0</v>
      </c>
      <c r="BB76" s="269">
        <f t="shared" si="25"/>
        <v>0</v>
      </c>
      <c r="BC76" s="198">
        <f t="shared" si="26"/>
        <v>0</v>
      </c>
      <c r="BD76" s="199">
        <f t="shared" si="27"/>
        <v>0</v>
      </c>
      <c r="BE76" s="235" t="s">
        <v>211</v>
      </c>
      <c r="BF76" s="446" t="s">
        <v>212</v>
      </c>
      <c r="BG76" s="446"/>
      <c r="BH76" s="22" t="s">
        <v>54</v>
      </c>
      <c r="BI76" s="200">
        <f t="shared" si="30"/>
        <v>0</v>
      </c>
      <c r="BJ76" s="200">
        <f t="shared" si="31"/>
        <v>0</v>
      </c>
      <c r="BK76" s="197">
        <f t="shared" si="32"/>
        <v>0</v>
      </c>
      <c r="BL76" s="197">
        <f t="shared" si="33"/>
        <v>0</v>
      </c>
      <c r="BM76" s="197"/>
      <c r="BN76" s="201">
        <f t="shared" si="34"/>
        <v>0</v>
      </c>
      <c r="BO76" s="202">
        <f t="shared" si="35"/>
        <v>0</v>
      </c>
      <c r="BP76" s="203">
        <f t="shared" si="36"/>
        <v>0</v>
      </c>
      <c r="BQ76" s="204">
        <f t="shared" si="37"/>
        <v>0</v>
      </c>
      <c r="BR76" s="205">
        <f t="shared" si="38"/>
        <v>0</v>
      </c>
      <c r="BS76" s="206">
        <f t="shared" si="39"/>
        <v>0</v>
      </c>
      <c r="BT76" s="84"/>
    </row>
    <row r="77" spans="1:72" ht="45" customHeight="1">
      <c r="A77" s="84"/>
      <c r="B77" s="235" t="s">
        <v>213</v>
      </c>
      <c r="C77" s="236" t="s">
        <v>214</v>
      </c>
      <c r="D77" s="78" t="s">
        <v>53</v>
      </c>
      <c r="E77" s="190">
        <v>280</v>
      </c>
      <c r="F77" s="214">
        <f t="shared" si="68"/>
        <v>0.0565</v>
      </c>
      <c r="G77" s="197">
        <f t="shared" si="69"/>
        <v>15.82</v>
      </c>
      <c r="H77" s="197">
        <f t="shared" si="70"/>
        <v>0</v>
      </c>
      <c r="I77" s="198">
        <f t="shared" si="71"/>
        <v>15.82</v>
      </c>
      <c r="J77" s="257">
        <v>0</v>
      </c>
      <c r="K77" s="214">
        <f t="shared" si="72"/>
        <v>0.0445</v>
      </c>
      <c r="L77" s="197">
        <f t="shared" si="73"/>
        <v>0</v>
      </c>
      <c r="M77" s="197">
        <f t="shared" si="74"/>
        <v>0</v>
      </c>
      <c r="N77" s="198">
        <f t="shared" si="75"/>
        <v>0</v>
      </c>
      <c r="O77" s="199">
        <f t="shared" si="76"/>
        <v>15.82</v>
      </c>
      <c r="P77" s="235" t="s">
        <v>213</v>
      </c>
      <c r="Q77" s="446" t="s">
        <v>214</v>
      </c>
      <c r="R77" s="446"/>
      <c r="S77" s="76"/>
      <c r="T77" s="22" t="s">
        <v>41</v>
      </c>
      <c r="U77" s="200">
        <f t="shared" si="40"/>
        <v>15.82</v>
      </c>
      <c r="V77" s="200">
        <f t="shared" si="41"/>
        <v>1.64</v>
      </c>
      <c r="W77" s="197">
        <f t="shared" si="42"/>
        <v>5.94</v>
      </c>
      <c r="X77" s="197">
        <f t="shared" si="43"/>
        <v>0.01</v>
      </c>
      <c r="Y77" s="197"/>
      <c r="Z77" s="201">
        <f t="shared" si="44"/>
        <v>17.37</v>
      </c>
      <c r="AA77" s="202">
        <f t="shared" si="45"/>
        <v>40.78</v>
      </c>
      <c r="AB77" s="203">
        <f t="shared" si="46"/>
        <v>12.23</v>
      </c>
      <c r="AC77" s="204">
        <f t="shared" si="47"/>
        <v>53.010000000000005</v>
      </c>
      <c r="AD77" s="205">
        <f t="shared" si="48"/>
        <v>2.79</v>
      </c>
      <c r="AE77" s="206">
        <f t="shared" si="49"/>
        <v>55.800000000000004</v>
      </c>
      <c r="AF77" s="84"/>
      <c r="AG77" s="235" t="s">
        <v>213</v>
      </c>
      <c r="AH77" s="446" t="s">
        <v>214</v>
      </c>
      <c r="AI77" s="446"/>
      <c r="AJ77" s="78" t="s">
        <v>54</v>
      </c>
      <c r="AK77" s="78"/>
      <c r="AL77" s="207">
        <f t="shared" si="17"/>
        <v>55.800000000000004</v>
      </c>
      <c r="AM77" s="207"/>
      <c r="AN77" s="207">
        <f t="shared" si="18"/>
        <v>0</v>
      </c>
      <c r="AO77" s="19"/>
      <c r="AP77" s="84"/>
      <c r="AQ77" s="235" t="s">
        <v>213</v>
      </c>
      <c r="AR77" s="446" t="s">
        <v>214</v>
      </c>
      <c r="AS77" s="446"/>
      <c r="AT77" s="29">
        <v>0</v>
      </c>
      <c r="AU77" s="214">
        <f t="shared" si="19"/>
        <v>0.0565</v>
      </c>
      <c r="AV77" s="269">
        <f t="shared" si="20"/>
        <v>0</v>
      </c>
      <c r="AW77" s="269">
        <f t="shared" si="21"/>
        <v>0</v>
      </c>
      <c r="AX77" s="198">
        <f t="shared" si="22"/>
        <v>0</v>
      </c>
      <c r="AY77" s="190">
        <v>0</v>
      </c>
      <c r="AZ77" s="214">
        <f t="shared" si="23"/>
        <v>0.0445</v>
      </c>
      <c r="BA77" s="269">
        <f t="shared" si="24"/>
        <v>0</v>
      </c>
      <c r="BB77" s="269">
        <f t="shared" si="25"/>
        <v>0</v>
      </c>
      <c r="BC77" s="198">
        <f t="shared" si="26"/>
        <v>0</v>
      </c>
      <c r="BD77" s="199">
        <f t="shared" si="27"/>
        <v>0</v>
      </c>
      <c r="BE77" s="235" t="s">
        <v>213</v>
      </c>
      <c r="BF77" s="446" t="s">
        <v>214</v>
      </c>
      <c r="BG77" s="446"/>
      <c r="BH77" s="22" t="s">
        <v>54</v>
      </c>
      <c r="BI77" s="200">
        <f t="shared" si="30"/>
        <v>0</v>
      </c>
      <c r="BJ77" s="200">
        <f t="shared" si="31"/>
        <v>0</v>
      </c>
      <c r="BK77" s="197">
        <f t="shared" si="32"/>
        <v>0</v>
      </c>
      <c r="BL77" s="197">
        <f t="shared" si="33"/>
        <v>0</v>
      </c>
      <c r="BM77" s="197"/>
      <c r="BN77" s="201">
        <f t="shared" si="34"/>
        <v>0</v>
      </c>
      <c r="BO77" s="202">
        <f t="shared" si="35"/>
        <v>0</v>
      </c>
      <c r="BP77" s="203">
        <f t="shared" si="36"/>
        <v>0</v>
      </c>
      <c r="BQ77" s="204">
        <f t="shared" si="37"/>
        <v>0</v>
      </c>
      <c r="BR77" s="205">
        <f t="shared" si="38"/>
        <v>0</v>
      </c>
      <c r="BS77" s="206">
        <f t="shared" si="39"/>
        <v>0</v>
      </c>
      <c r="BT77" s="84"/>
    </row>
    <row r="78" spans="1:72" ht="45" customHeight="1">
      <c r="A78" s="84"/>
      <c r="B78" s="235" t="s">
        <v>215</v>
      </c>
      <c r="C78" s="236" t="s">
        <v>216</v>
      </c>
      <c r="D78" s="78" t="s">
        <v>53</v>
      </c>
      <c r="E78" s="190">
        <v>320</v>
      </c>
      <c r="F78" s="214">
        <f t="shared" si="68"/>
        <v>0.0565</v>
      </c>
      <c r="G78" s="197">
        <f t="shared" si="69"/>
        <v>18.08</v>
      </c>
      <c r="H78" s="197">
        <f t="shared" si="70"/>
        <v>0</v>
      </c>
      <c r="I78" s="198">
        <f t="shared" si="71"/>
        <v>18.08</v>
      </c>
      <c r="J78" s="257">
        <v>0</v>
      </c>
      <c r="K78" s="214">
        <f t="shared" si="72"/>
        <v>0.0445</v>
      </c>
      <c r="L78" s="197">
        <f t="shared" si="73"/>
        <v>0</v>
      </c>
      <c r="M78" s="197">
        <f t="shared" si="74"/>
        <v>0</v>
      </c>
      <c r="N78" s="198">
        <f t="shared" si="75"/>
        <v>0</v>
      </c>
      <c r="O78" s="199">
        <f t="shared" si="76"/>
        <v>18.08</v>
      </c>
      <c r="P78" s="235" t="s">
        <v>215</v>
      </c>
      <c r="Q78" s="446" t="s">
        <v>216</v>
      </c>
      <c r="R78" s="446"/>
      <c r="S78" s="76"/>
      <c r="T78" s="22" t="s">
        <v>41</v>
      </c>
      <c r="U78" s="200">
        <f t="shared" si="40"/>
        <v>18.08</v>
      </c>
      <c r="V78" s="200">
        <f t="shared" si="41"/>
        <v>1.87</v>
      </c>
      <c r="W78" s="197">
        <f t="shared" si="42"/>
        <v>6.78</v>
      </c>
      <c r="X78" s="197">
        <f t="shared" si="43"/>
        <v>0.02</v>
      </c>
      <c r="Y78" s="197"/>
      <c r="Z78" s="201">
        <f t="shared" si="44"/>
        <v>19.85</v>
      </c>
      <c r="AA78" s="202">
        <f t="shared" si="45"/>
        <v>46.6</v>
      </c>
      <c r="AB78" s="203">
        <f t="shared" si="46"/>
        <v>13.98</v>
      </c>
      <c r="AC78" s="204">
        <f t="shared" si="47"/>
        <v>60.58</v>
      </c>
      <c r="AD78" s="205">
        <f t="shared" si="48"/>
        <v>3.19</v>
      </c>
      <c r="AE78" s="206">
        <f t="shared" si="49"/>
        <v>63.769999999999996</v>
      </c>
      <c r="AF78" s="84"/>
      <c r="AG78" s="235" t="s">
        <v>215</v>
      </c>
      <c r="AH78" s="446" t="s">
        <v>216</v>
      </c>
      <c r="AI78" s="446"/>
      <c r="AJ78" s="78" t="s">
        <v>54</v>
      </c>
      <c r="AK78" s="78"/>
      <c r="AL78" s="207">
        <f t="shared" si="17"/>
        <v>63.769999999999996</v>
      </c>
      <c r="AM78" s="207"/>
      <c r="AN78" s="207">
        <f t="shared" si="18"/>
        <v>0</v>
      </c>
      <c r="AO78" s="19"/>
      <c r="AP78" s="84"/>
      <c r="AQ78" s="235" t="s">
        <v>215</v>
      </c>
      <c r="AR78" s="446" t="s">
        <v>216</v>
      </c>
      <c r="AS78" s="446"/>
      <c r="AT78" s="29">
        <v>0</v>
      </c>
      <c r="AU78" s="214">
        <f t="shared" si="19"/>
        <v>0.0565</v>
      </c>
      <c r="AV78" s="269">
        <f t="shared" si="20"/>
        <v>0</v>
      </c>
      <c r="AW78" s="269">
        <f t="shared" si="21"/>
        <v>0</v>
      </c>
      <c r="AX78" s="198">
        <f t="shared" si="22"/>
        <v>0</v>
      </c>
      <c r="AY78" s="190">
        <v>0</v>
      </c>
      <c r="AZ78" s="214">
        <f t="shared" si="23"/>
        <v>0.0445</v>
      </c>
      <c r="BA78" s="269">
        <f t="shared" si="24"/>
        <v>0</v>
      </c>
      <c r="BB78" s="269">
        <f t="shared" si="25"/>
        <v>0</v>
      </c>
      <c r="BC78" s="198">
        <f t="shared" si="26"/>
        <v>0</v>
      </c>
      <c r="BD78" s="199">
        <f t="shared" si="27"/>
        <v>0</v>
      </c>
      <c r="BE78" s="235" t="s">
        <v>215</v>
      </c>
      <c r="BF78" s="446" t="s">
        <v>216</v>
      </c>
      <c r="BG78" s="446"/>
      <c r="BH78" s="22" t="s">
        <v>54</v>
      </c>
      <c r="BI78" s="200">
        <f t="shared" si="30"/>
        <v>0</v>
      </c>
      <c r="BJ78" s="200">
        <f t="shared" si="31"/>
        <v>0</v>
      </c>
      <c r="BK78" s="197">
        <f t="shared" si="32"/>
        <v>0</v>
      </c>
      <c r="BL78" s="197">
        <f t="shared" si="33"/>
        <v>0</v>
      </c>
      <c r="BM78" s="197"/>
      <c r="BN78" s="201">
        <f t="shared" si="34"/>
        <v>0</v>
      </c>
      <c r="BO78" s="202">
        <f t="shared" si="35"/>
        <v>0</v>
      </c>
      <c r="BP78" s="203">
        <f t="shared" si="36"/>
        <v>0</v>
      </c>
      <c r="BQ78" s="204">
        <f t="shared" si="37"/>
        <v>0</v>
      </c>
      <c r="BR78" s="205">
        <f t="shared" si="38"/>
        <v>0</v>
      </c>
      <c r="BS78" s="206">
        <f t="shared" si="39"/>
        <v>0</v>
      </c>
      <c r="BT78" s="84"/>
    </row>
    <row r="79" spans="1:72" ht="48.75" customHeight="1">
      <c r="A79" s="84"/>
      <c r="B79" s="235" t="s">
        <v>217</v>
      </c>
      <c r="C79" s="236" t="s">
        <v>218</v>
      </c>
      <c r="D79" s="78" t="s">
        <v>53</v>
      </c>
      <c r="E79" s="190">
        <v>460</v>
      </c>
      <c r="F79" s="214">
        <f t="shared" si="68"/>
        <v>0.0565</v>
      </c>
      <c r="G79" s="197">
        <f t="shared" si="69"/>
        <v>25.99</v>
      </c>
      <c r="H79" s="197">
        <f t="shared" si="70"/>
        <v>0</v>
      </c>
      <c r="I79" s="198">
        <f t="shared" si="71"/>
        <v>25.99</v>
      </c>
      <c r="J79" s="257">
        <v>0</v>
      </c>
      <c r="K79" s="214">
        <f t="shared" si="72"/>
        <v>0.0445</v>
      </c>
      <c r="L79" s="197">
        <f t="shared" si="73"/>
        <v>0</v>
      </c>
      <c r="M79" s="197">
        <f t="shared" si="74"/>
        <v>0</v>
      </c>
      <c r="N79" s="198">
        <f t="shared" si="75"/>
        <v>0</v>
      </c>
      <c r="O79" s="199">
        <f t="shared" si="76"/>
        <v>25.99</v>
      </c>
      <c r="P79" s="235" t="s">
        <v>217</v>
      </c>
      <c r="Q79" s="446" t="s">
        <v>218</v>
      </c>
      <c r="R79" s="446"/>
      <c r="S79" s="76"/>
      <c r="T79" s="22" t="s">
        <v>41</v>
      </c>
      <c r="U79" s="200">
        <f t="shared" si="40"/>
        <v>25.99</v>
      </c>
      <c r="V79" s="200">
        <f t="shared" si="41"/>
        <v>2.69</v>
      </c>
      <c r="W79" s="197">
        <f t="shared" si="42"/>
        <v>9.75</v>
      </c>
      <c r="X79" s="197">
        <f t="shared" si="43"/>
        <v>0.02</v>
      </c>
      <c r="Y79" s="197"/>
      <c r="Z79" s="201">
        <f t="shared" si="44"/>
        <v>28.53</v>
      </c>
      <c r="AA79" s="202">
        <f t="shared" si="45"/>
        <v>66.98</v>
      </c>
      <c r="AB79" s="203">
        <f t="shared" si="46"/>
        <v>20.09</v>
      </c>
      <c r="AC79" s="204">
        <f t="shared" si="47"/>
        <v>87.07000000000001</v>
      </c>
      <c r="AD79" s="205">
        <f t="shared" si="48"/>
        <v>4.58</v>
      </c>
      <c r="AE79" s="206">
        <f t="shared" si="49"/>
        <v>91.65</v>
      </c>
      <c r="AF79" s="84"/>
      <c r="AG79" s="235" t="s">
        <v>217</v>
      </c>
      <c r="AH79" s="446" t="s">
        <v>218</v>
      </c>
      <c r="AI79" s="446"/>
      <c r="AJ79" s="78" t="s">
        <v>54</v>
      </c>
      <c r="AK79" s="78"/>
      <c r="AL79" s="207">
        <f t="shared" si="17"/>
        <v>91.65</v>
      </c>
      <c r="AM79" s="207"/>
      <c r="AN79" s="207">
        <f t="shared" si="18"/>
        <v>0</v>
      </c>
      <c r="AO79" s="19"/>
      <c r="AP79" s="84"/>
      <c r="AQ79" s="235" t="s">
        <v>217</v>
      </c>
      <c r="AR79" s="446" t="s">
        <v>218</v>
      </c>
      <c r="AS79" s="446"/>
      <c r="AT79" s="29">
        <v>0</v>
      </c>
      <c r="AU79" s="214">
        <f t="shared" si="19"/>
        <v>0.0565</v>
      </c>
      <c r="AV79" s="269">
        <f t="shared" si="20"/>
        <v>0</v>
      </c>
      <c r="AW79" s="269">
        <f t="shared" si="21"/>
        <v>0</v>
      </c>
      <c r="AX79" s="198">
        <f t="shared" si="22"/>
        <v>0</v>
      </c>
      <c r="AY79" s="190">
        <v>0</v>
      </c>
      <c r="AZ79" s="214">
        <f t="shared" si="23"/>
        <v>0.0445</v>
      </c>
      <c r="BA79" s="269">
        <f t="shared" si="24"/>
        <v>0</v>
      </c>
      <c r="BB79" s="269">
        <f t="shared" si="25"/>
        <v>0</v>
      </c>
      <c r="BC79" s="198">
        <f t="shared" si="26"/>
        <v>0</v>
      </c>
      <c r="BD79" s="199">
        <f t="shared" si="27"/>
        <v>0</v>
      </c>
      <c r="BE79" s="235" t="s">
        <v>217</v>
      </c>
      <c r="BF79" s="446" t="s">
        <v>218</v>
      </c>
      <c r="BG79" s="446"/>
      <c r="BH79" s="22" t="s">
        <v>54</v>
      </c>
      <c r="BI79" s="200">
        <f t="shared" si="30"/>
        <v>0</v>
      </c>
      <c r="BJ79" s="200">
        <f t="shared" si="31"/>
        <v>0</v>
      </c>
      <c r="BK79" s="197">
        <f t="shared" si="32"/>
        <v>0</v>
      </c>
      <c r="BL79" s="197">
        <f t="shared" si="33"/>
        <v>0</v>
      </c>
      <c r="BM79" s="197"/>
      <c r="BN79" s="201">
        <f t="shared" si="34"/>
        <v>0</v>
      </c>
      <c r="BO79" s="202">
        <f t="shared" si="35"/>
        <v>0</v>
      </c>
      <c r="BP79" s="203">
        <f t="shared" si="36"/>
        <v>0</v>
      </c>
      <c r="BQ79" s="204">
        <f t="shared" si="37"/>
        <v>0</v>
      </c>
      <c r="BR79" s="205">
        <f t="shared" si="38"/>
        <v>0</v>
      </c>
      <c r="BS79" s="206">
        <f t="shared" si="39"/>
        <v>0</v>
      </c>
      <c r="BT79" s="84"/>
    </row>
    <row r="80" spans="1:72" ht="87" customHeight="1">
      <c r="A80" s="24"/>
      <c r="B80" s="235" t="s">
        <v>219</v>
      </c>
      <c r="C80" s="236" t="s">
        <v>220</v>
      </c>
      <c r="D80" s="78" t="s">
        <v>53</v>
      </c>
      <c r="E80" s="190">
        <v>1220</v>
      </c>
      <c r="F80" s="214">
        <f t="shared" si="68"/>
        <v>0.0565</v>
      </c>
      <c r="G80" s="197">
        <f t="shared" si="69"/>
        <v>68.93</v>
      </c>
      <c r="H80" s="197">
        <f t="shared" si="70"/>
        <v>0</v>
      </c>
      <c r="I80" s="198">
        <f t="shared" si="71"/>
        <v>68.93</v>
      </c>
      <c r="J80" s="257">
        <v>0</v>
      </c>
      <c r="K80" s="214">
        <f t="shared" si="72"/>
        <v>0.0445</v>
      </c>
      <c r="L80" s="197">
        <f t="shared" si="73"/>
        <v>0</v>
      </c>
      <c r="M80" s="197">
        <f t="shared" si="74"/>
        <v>0</v>
      </c>
      <c r="N80" s="198">
        <f t="shared" si="75"/>
        <v>0</v>
      </c>
      <c r="O80" s="199">
        <f t="shared" si="76"/>
        <v>68.93</v>
      </c>
      <c r="P80" s="235" t="s">
        <v>219</v>
      </c>
      <c r="Q80" s="446" t="s">
        <v>220</v>
      </c>
      <c r="R80" s="446"/>
      <c r="S80" s="76"/>
      <c r="T80" s="22" t="s">
        <v>41</v>
      </c>
      <c r="U80" s="200">
        <f t="shared" si="40"/>
        <v>68.93</v>
      </c>
      <c r="V80" s="200">
        <f t="shared" si="41"/>
        <v>7.13</v>
      </c>
      <c r="W80" s="197">
        <f t="shared" si="42"/>
        <v>25.86</v>
      </c>
      <c r="X80" s="197">
        <f t="shared" si="43"/>
        <v>0.06</v>
      </c>
      <c r="Y80" s="197"/>
      <c r="Z80" s="201">
        <f t="shared" si="44"/>
        <v>75.66</v>
      </c>
      <c r="AA80" s="202">
        <f t="shared" si="45"/>
        <v>177.64</v>
      </c>
      <c r="AB80" s="203">
        <f t="shared" si="46"/>
        <v>53.29</v>
      </c>
      <c r="AC80" s="204">
        <f t="shared" si="47"/>
        <v>230.92999999999998</v>
      </c>
      <c r="AD80" s="205">
        <f t="shared" si="48"/>
        <v>12.15</v>
      </c>
      <c r="AE80" s="206">
        <f t="shared" si="49"/>
        <v>243.07999999999998</v>
      </c>
      <c r="AF80" s="24"/>
      <c r="AG80" s="235" t="s">
        <v>219</v>
      </c>
      <c r="AH80" s="446" t="s">
        <v>220</v>
      </c>
      <c r="AI80" s="446"/>
      <c r="AJ80" s="78"/>
      <c r="AK80" s="78"/>
      <c r="AL80" s="207">
        <f t="shared" si="17"/>
        <v>243.07999999999998</v>
      </c>
      <c r="AM80" s="207"/>
      <c r="AN80" s="207">
        <f t="shared" si="18"/>
        <v>0</v>
      </c>
      <c r="AO80" s="19"/>
      <c r="AP80" s="24"/>
      <c r="AQ80" s="235" t="s">
        <v>219</v>
      </c>
      <c r="AR80" s="446" t="s">
        <v>220</v>
      </c>
      <c r="AS80" s="446"/>
      <c r="AT80" s="29">
        <v>0</v>
      </c>
      <c r="AU80" s="214">
        <f t="shared" si="19"/>
        <v>0.0565</v>
      </c>
      <c r="AV80" s="269">
        <f t="shared" si="20"/>
        <v>0</v>
      </c>
      <c r="AW80" s="269">
        <f t="shared" si="21"/>
        <v>0</v>
      </c>
      <c r="AX80" s="198">
        <f t="shared" si="22"/>
        <v>0</v>
      </c>
      <c r="AY80" s="190">
        <v>0</v>
      </c>
      <c r="AZ80" s="214">
        <f t="shared" si="23"/>
        <v>0.0445</v>
      </c>
      <c r="BA80" s="269">
        <f t="shared" si="24"/>
        <v>0</v>
      </c>
      <c r="BB80" s="269">
        <f t="shared" si="25"/>
        <v>0</v>
      </c>
      <c r="BC80" s="198">
        <f t="shared" si="26"/>
        <v>0</v>
      </c>
      <c r="BD80" s="199">
        <f t="shared" si="27"/>
        <v>0</v>
      </c>
      <c r="BE80" s="235" t="s">
        <v>219</v>
      </c>
      <c r="BF80" s="446" t="s">
        <v>220</v>
      </c>
      <c r="BG80" s="446"/>
      <c r="BH80" s="22"/>
      <c r="BI80" s="200">
        <f t="shared" si="30"/>
        <v>0</v>
      </c>
      <c r="BJ80" s="200">
        <f t="shared" si="31"/>
        <v>0</v>
      </c>
      <c r="BK80" s="197">
        <f t="shared" si="32"/>
        <v>0</v>
      </c>
      <c r="BL80" s="197">
        <f t="shared" si="33"/>
        <v>0</v>
      </c>
      <c r="BM80" s="197"/>
      <c r="BN80" s="201">
        <f t="shared" si="34"/>
        <v>0</v>
      </c>
      <c r="BO80" s="202">
        <f t="shared" si="35"/>
        <v>0</v>
      </c>
      <c r="BP80" s="203">
        <f t="shared" si="36"/>
        <v>0</v>
      </c>
      <c r="BQ80" s="204">
        <f t="shared" si="37"/>
        <v>0</v>
      </c>
      <c r="BR80" s="205">
        <f t="shared" si="38"/>
        <v>0</v>
      </c>
      <c r="BS80" s="206">
        <f t="shared" si="39"/>
        <v>0</v>
      </c>
      <c r="BT80" s="24"/>
    </row>
    <row r="81" spans="1:72" ht="35.25" customHeight="1">
      <c r="A81" s="84"/>
      <c r="B81" s="235" t="s">
        <v>225</v>
      </c>
      <c r="C81" s="236" t="s">
        <v>226</v>
      </c>
      <c r="D81" s="78" t="s">
        <v>53</v>
      </c>
      <c r="E81" s="307">
        <v>0</v>
      </c>
      <c r="F81" s="214">
        <f t="shared" si="68"/>
        <v>0.0565</v>
      </c>
      <c r="G81" s="197">
        <f t="shared" si="69"/>
        <v>0</v>
      </c>
      <c r="H81" s="197">
        <f t="shared" si="70"/>
        <v>0</v>
      </c>
      <c r="I81" s="198">
        <f t="shared" si="71"/>
        <v>0</v>
      </c>
      <c r="J81" s="257">
        <v>300</v>
      </c>
      <c r="K81" s="214">
        <f t="shared" si="72"/>
        <v>0.0445</v>
      </c>
      <c r="L81" s="197">
        <f t="shared" si="73"/>
        <v>13.35</v>
      </c>
      <c r="M81" s="197">
        <f t="shared" si="74"/>
        <v>0</v>
      </c>
      <c r="N81" s="198">
        <f t="shared" si="75"/>
        <v>13.35</v>
      </c>
      <c r="O81" s="199">
        <f t="shared" si="76"/>
        <v>13.35</v>
      </c>
      <c r="P81" s="235" t="s">
        <v>225</v>
      </c>
      <c r="Q81" s="446" t="s">
        <v>226</v>
      </c>
      <c r="R81" s="446"/>
      <c r="S81" s="76"/>
      <c r="T81" s="22" t="s">
        <v>41</v>
      </c>
      <c r="U81" s="200">
        <f t="shared" si="40"/>
        <v>13.35</v>
      </c>
      <c r="V81" s="200">
        <f t="shared" si="41"/>
        <v>1.38</v>
      </c>
      <c r="W81" s="197">
        <f t="shared" si="42"/>
        <v>5.01</v>
      </c>
      <c r="X81" s="197">
        <f t="shared" si="43"/>
        <v>0.01</v>
      </c>
      <c r="Y81" s="197"/>
      <c r="Z81" s="201">
        <f t="shared" si="44"/>
        <v>14.65</v>
      </c>
      <c r="AA81" s="202">
        <f t="shared" si="45"/>
        <v>34.400000000000006</v>
      </c>
      <c r="AB81" s="203">
        <f t="shared" si="46"/>
        <v>10.32</v>
      </c>
      <c r="AC81" s="204">
        <f t="shared" si="47"/>
        <v>44.720000000000006</v>
      </c>
      <c r="AD81" s="205">
        <f t="shared" si="48"/>
        <v>2.35</v>
      </c>
      <c r="AE81" s="206">
        <f t="shared" si="49"/>
        <v>47.07000000000001</v>
      </c>
      <c r="AF81" s="84"/>
      <c r="AG81" s="235" t="s">
        <v>225</v>
      </c>
      <c r="AH81" s="446" t="s">
        <v>226</v>
      </c>
      <c r="AI81" s="446"/>
      <c r="AJ81" s="78" t="s">
        <v>54</v>
      </c>
      <c r="AK81" s="78"/>
      <c r="AL81" s="207">
        <f t="shared" si="17"/>
        <v>47.07000000000001</v>
      </c>
      <c r="AM81" s="207"/>
      <c r="AN81" s="207">
        <f t="shared" si="18"/>
        <v>0</v>
      </c>
      <c r="AO81" s="19"/>
      <c r="AP81" s="84"/>
      <c r="AQ81" s="235" t="s">
        <v>225</v>
      </c>
      <c r="AR81" s="446" t="s">
        <v>226</v>
      </c>
      <c r="AS81" s="446"/>
      <c r="AT81" s="29">
        <v>0</v>
      </c>
      <c r="AU81" s="214">
        <f t="shared" si="19"/>
        <v>0.0565</v>
      </c>
      <c r="AV81" s="269">
        <f t="shared" si="20"/>
        <v>0</v>
      </c>
      <c r="AW81" s="269">
        <f t="shared" si="21"/>
        <v>0</v>
      </c>
      <c r="AX81" s="198">
        <f t="shared" si="22"/>
        <v>0</v>
      </c>
      <c r="AY81" s="190">
        <v>0</v>
      </c>
      <c r="AZ81" s="214">
        <f t="shared" si="23"/>
        <v>0.0445</v>
      </c>
      <c r="BA81" s="269">
        <f t="shared" si="24"/>
        <v>0</v>
      </c>
      <c r="BB81" s="269">
        <f t="shared" si="25"/>
        <v>0</v>
      </c>
      <c r="BC81" s="198">
        <f t="shared" si="26"/>
        <v>0</v>
      </c>
      <c r="BD81" s="199">
        <f t="shared" si="27"/>
        <v>0</v>
      </c>
      <c r="BE81" s="235" t="s">
        <v>225</v>
      </c>
      <c r="BF81" s="446" t="s">
        <v>226</v>
      </c>
      <c r="BG81" s="446"/>
      <c r="BH81" s="22" t="s">
        <v>54</v>
      </c>
      <c r="BI81" s="200">
        <f t="shared" si="30"/>
        <v>0</v>
      </c>
      <c r="BJ81" s="200">
        <f t="shared" si="31"/>
        <v>0</v>
      </c>
      <c r="BK81" s="197">
        <f t="shared" si="32"/>
        <v>0</v>
      </c>
      <c r="BL81" s="197">
        <f t="shared" si="33"/>
        <v>0</v>
      </c>
      <c r="BM81" s="197"/>
      <c r="BN81" s="201">
        <f t="shared" si="34"/>
        <v>0</v>
      </c>
      <c r="BO81" s="202">
        <f t="shared" si="35"/>
        <v>0</v>
      </c>
      <c r="BP81" s="203">
        <f t="shared" si="36"/>
        <v>0</v>
      </c>
      <c r="BQ81" s="204">
        <f t="shared" si="37"/>
        <v>0</v>
      </c>
      <c r="BR81" s="205">
        <f t="shared" si="38"/>
        <v>0</v>
      </c>
      <c r="BS81" s="206">
        <f t="shared" si="39"/>
        <v>0</v>
      </c>
      <c r="BT81" s="84"/>
    </row>
    <row r="82" spans="1:72" ht="30" customHeight="1">
      <c r="A82" s="84"/>
      <c r="B82" s="235" t="s">
        <v>227</v>
      </c>
      <c r="C82" s="236" t="s">
        <v>228</v>
      </c>
      <c r="D82" s="78" t="s">
        <v>53</v>
      </c>
      <c r="E82" s="307">
        <v>0</v>
      </c>
      <c r="F82" s="214">
        <f t="shared" si="68"/>
        <v>0.0565</v>
      </c>
      <c r="G82" s="197">
        <f t="shared" si="69"/>
        <v>0</v>
      </c>
      <c r="H82" s="197">
        <f t="shared" si="70"/>
        <v>0</v>
      </c>
      <c r="I82" s="198">
        <f t="shared" si="71"/>
        <v>0</v>
      </c>
      <c r="J82" s="257">
        <v>370</v>
      </c>
      <c r="K82" s="214">
        <f t="shared" si="72"/>
        <v>0.0445</v>
      </c>
      <c r="L82" s="197">
        <f t="shared" si="73"/>
        <v>16.47</v>
      </c>
      <c r="M82" s="197">
        <f t="shared" si="74"/>
        <v>0</v>
      </c>
      <c r="N82" s="198">
        <f t="shared" si="75"/>
        <v>16.47</v>
      </c>
      <c r="O82" s="199">
        <f t="shared" si="76"/>
        <v>16.47</v>
      </c>
      <c r="P82" s="235" t="s">
        <v>227</v>
      </c>
      <c r="Q82" s="446" t="s">
        <v>228</v>
      </c>
      <c r="R82" s="446"/>
      <c r="S82" s="76"/>
      <c r="T82" s="22" t="s">
        <v>41</v>
      </c>
      <c r="U82" s="200">
        <f t="shared" si="40"/>
        <v>16.47</v>
      </c>
      <c r="V82" s="200">
        <f t="shared" si="41"/>
        <v>1.7</v>
      </c>
      <c r="W82" s="197">
        <f t="shared" si="42"/>
        <v>6.18</v>
      </c>
      <c r="X82" s="197">
        <f t="shared" si="43"/>
        <v>0.01</v>
      </c>
      <c r="Y82" s="197"/>
      <c r="Z82" s="201">
        <f t="shared" si="44"/>
        <v>18.08</v>
      </c>
      <c r="AA82" s="202">
        <f t="shared" si="45"/>
        <v>42.44</v>
      </c>
      <c r="AB82" s="203">
        <f t="shared" si="46"/>
        <v>12.73</v>
      </c>
      <c r="AC82" s="204">
        <f t="shared" si="47"/>
        <v>55.17</v>
      </c>
      <c r="AD82" s="205">
        <f t="shared" si="48"/>
        <v>2.9</v>
      </c>
      <c r="AE82" s="206">
        <f t="shared" si="49"/>
        <v>58.07</v>
      </c>
      <c r="AF82" s="84"/>
      <c r="AG82" s="235" t="s">
        <v>227</v>
      </c>
      <c r="AH82" s="446" t="s">
        <v>228</v>
      </c>
      <c r="AI82" s="446"/>
      <c r="AJ82" s="78" t="s">
        <v>54</v>
      </c>
      <c r="AK82" s="78"/>
      <c r="AL82" s="207">
        <f t="shared" si="17"/>
        <v>58.07</v>
      </c>
      <c r="AM82" s="207"/>
      <c r="AN82" s="207">
        <f t="shared" si="18"/>
        <v>0</v>
      </c>
      <c r="AO82" s="19"/>
      <c r="AP82" s="84"/>
      <c r="AQ82" s="235" t="s">
        <v>227</v>
      </c>
      <c r="AR82" s="446" t="s">
        <v>228</v>
      </c>
      <c r="AS82" s="446"/>
      <c r="AT82" s="29">
        <v>0</v>
      </c>
      <c r="AU82" s="214">
        <f t="shared" si="19"/>
        <v>0.0565</v>
      </c>
      <c r="AV82" s="269">
        <f t="shared" si="20"/>
        <v>0</v>
      </c>
      <c r="AW82" s="269">
        <f t="shared" si="21"/>
        <v>0</v>
      </c>
      <c r="AX82" s="198">
        <f t="shared" si="22"/>
        <v>0</v>
      </c>
      <c r="AY82" s="190">
        <v>0</v>
      </c>
      <c r="AZ82" s="214">
        <f t="shared" si="23"/>
        <v>0.0445</v>
      </c>
      <c r="BA82" s="269">
        <f t="shared" si="24"/>
        <v>0</v>
      </c>
      <c r="BB82" s="269">
        <f t="shared" si="25"/>
        <v>0</v>
      </c>
      <c r="BC82" s="198">
        <f t="shared" si="26"/>
        <v>0</v>
      </c>
      <c r="BD82" s="199">
        <f t="shared" si="27"/>
        <v>0</v>
      </c>
      <c r="BE82" s="235" t="s">
        <v>227</v>
      </c>
      <c r="BF82" s="446" t="s">
        <v>228</v>
      </c>
      <c r="BG82" s="446"/>
      <c r="BH82" s="22" t="s">
        <v>54</v>
      </c>
      <c r="BI82" s="200">
        <f t="shared" si="30"/>
        <v>0</v>
      </c>
      <c r="BJ82" s="200">
        <f t="shared" si="31"/>
        <v>0</v>
      </c>
      <c r="BK82" s="197">
        <f t="shared" si="32"/>
        <v>0</v>
      </c>
      <c r="BL82" s="197">
        <f t="shared" si="33"/>
        <v>0</v>
      </c>
      <c r="BM82" s="197"/>
      <c r="BN82" s="201">
        <f t="shared" si="34"/>
        <v>0</v>
      </c>
      <c r="BO82" s="202">
        <f t="shared" si="35"/>
        <v>0</v>
      </c>
      <c r="BP82" s="203">
        <f t="shared" si="36"/>
        <v>0</v>
      </c>
      <c r="BQ82" s="204">
        <f t="shared" si="37"/>
        <v>0</v>
      </c>
      <c r="BR82" s="205">
        <f t="shared" si="38"/>
        <v>0</v>
      </c>
      <c r="BS82" s="206">
        <f t="shared" si="39"/>
        <v>0</v>
      </c>
      <c r="BT82" s="84"/>
    </row>
    <row r="83" spans="1:72" ht="30" customHeight="1">
      <c r="A83" s="24"/>
      <c r="B83" s="235" t="s">
        <v>229</v>
      </c>
      <c r="C83" s="236" t="s">
        <v>230</v>
      </c>
      <c r="D83" s="78" t="s">
        <v>53</v>
      </c>
      <c r="E83" s="307">
        <v>0</v>
      </c>
      <c r="F83" s="214">
        <f t="shared" si="68"/>
        <v>0.0565</v>
      </c>
      <c r="G83" s="197">
        <f t="shared" si="69"/>
        <v>0</v>
      </c>
      <c r="H83" s="197">
        <f t="shared" si="70"/>
        <v>0</v>
      </c>
      <c r="I83" s="198">
        <f t="shared" si="71"/>
        <v>0</v>
      </c>
      <c r="J83" s="257">
        <v>480</v>
      </c>
      <c r="K83" s="214">
        <f t="shared" si="72"/>
        <v>0.0445</v>
      </c>
      <c r="L83" s="197">
        <f t="shared" si="73"/>
        <v>21.36</v>
      </c>
      <c r="M83" s="197">
        <f t="shared" si="74"/>
        <v>0</v>
      </c>
      <c r="N83" s="198">
        <f t="shared" si="75"/>
        <v>21.36</v>
      </c>
      <c r="O83" s="199">
        <f t="shared" si="76"/>
        <v>21.36</v>
      </c>
      <c r="P83" s="235" t="s">
        <v>229</v>
      </c>
      <c r="Q83" s="446" t="s">
        <v>230</v>
      </c>
      <c r="R83" s="446"/>
      <c r="S83" s="76"/>
      <c r="T83" s="22" t="s">
        <v>41</v>
      </c>
      <c r="U83" s="200">
        <f t="shared" si="40"/>
        <v>21.36</v>
      </c>
      <c r="V83" s="200">
        <f t="shared" si="41"/>
        <v>2.21</v>
      </c>
      <c r="W83" s="197">
        <f t="shared" si="42"/>
        <v>8.01</v>
      </c>
      <c r="X83" s="197">
        <f t="shared" si="43"/>
        <v>0.02</v>
      </c>
      <c r="Y83" s="197"/>
      <c r="Z83" s="201">
        <f t="shared" si="44"/>
        <v>23.45</v>
      </c>
      <c r="AA83" s="202">
        <f t="shared" si="45"/>
        <v>55.05</v>
      </c>
      <c r="AB83" s="203">
        <f t="shared" si="46"/>
        <v>16.52</v>
      </c>
      <c r="AC83" s="204">
        <f t="shared" si="47"/>
        <v>71.57</v>
      </c>
      <c r="AD83" s="205">
        <f t="shared" si="48"/>
        <v>3.77</v>
      </c>
      <c r="AE83" s="206">
        <f t="shared" si="49"/>
        <v>75.33999999999999</v>
      </c>
      <c r="AF83" s="24"/>
      <c r="AG83" s="235" t="s">
        <v>229</v>
      </c>
      <c r="AH83" s="446" t="s">
        <v>230</v>
      </c>
      <c r="AI83" s="446"/>
      <c r="AJ83" s="78"/>
      <c r="AK83" s="78"/>
      <c r="AL83" s="207">
        <f t="shared" si="17"/>
        <v>75.33999999999999</v>
      </c>
      <c r="AM83" s="207"/>
      <c r="AN83" s="207">
        <f t="shared" si="18"/>
        <v>0</v>
      </c>
      <c r="AO83" s="19"/>
      <c r="AP83" s="24"/>
      <c r="AQ83" s="235" t="s">
        <v>229</v>
      </c>
      <c r="AR83" s="446" t="s">
        <v>230</v>
      </c>
      <c r="AS83" s="446"/>
      <c r="AT83" s="29">
        <v>0</v>
      </c>
      <c r="AU83" s="214">
        <f t="shared" si="19"/>
        <v>0.0565</v>
      </c>
      <c r="AV83" s="269">
        <f t="shared" si="20"/>
        <v>0</v>
      </c>
      <c r="AW83" s="269">
        <f t="shared" si="21"/>
        <v>0</v>
      </c>
      <c r="AX83" s="198">
        <f t="shared" si="22"/>
        <v>0</v>
      </c>
      <c r="AY83" s="190">
        <v>0</v>
      </c>
      <c r="AZ83" s="214">
        <f t="shared" si="23"/>
        <v>0.0445</v>
      </c>
      <c r="BA83" s="269">
        <f t="shared" si="24"/>
        <v>0</v>
      </c>
      <c r="BB83" s="269">
        <f t="shared" si="25"/>
        <v>0</v>
      </c>
      <c r="BC83" s="198">
        <f t="shared" si="26"/>
        <v>0</v>
      </c>
      <c r="BD83" s="199">
        <f t="shared" si="27"/>
        <v>0</v>
      </c>
      <c r="BE83" s="235" t="s">
        <v>229</v>
      </c>
      <c r="BF83" s="446" t="s">
        <v>230</v>
      </c>
      <c r="BG83" s="446"/>
      <c r="BH83" s="22"/>
      <c r="BI83" s="200">
        <f t="shared" si="30"/>
        <v>0</v>
      </c>
      <c r="BJ83" s="200">
        <f t="shared" si="31"/>
        <v>0</v>
      </c>
      <c r="BK83" s="197">
        <f t="shared" si="32"/>
        <v>0</v>
      </c>
      <c r="BL83" s="197">
        <f t="shared" si="33"/>
        <v>0</v>
      </c>
      <c r="BM83" s="197"/>
      <c r="BN83" s="201">
        <f t="shared" si="34"/>
        <v>0</v>
      </c>
      <c r="BO83" s="202">
        <f t="shared" si="35"/>
        <v>0</v>
      </c>
      <c r="BP83" s="203">
        <f t="shared" si="36"/>
        <v>0</v>
      </c>
      <c r="BQ83" s="204">
        <f t="shared" si="37"/>
        <v>0</v>
      </c>
      <c r="BR83" s="205">
        <f t="shared" si="38"/>
        <v>0</v>
      </c>
      <c r="BS83" s="206">
        <f t="shared" si="39"/>
        <v>0</v>
      </c>
      <c r="BT83" s="24"/>
    </row>
    <row r="84" spans="1:72" ht="32.25" customHeight="1">
      <c r="A84" s="24"/>
      <c r="B84" s="235" t="s">
        <v>231</v>
      </c>
      <c r="C84" s="236" t="s">
        <v>232</v>
      </c>
      <c r="D84" s="78" t="s">
        <v>53</v>
      </c>
      <c r="E84" s="307">
        <v>0</v>
      </c>
      <c r="F84" s="214">
        <f t="shared" si="68"/>
        <v>0.0565</v>
      </c>
      <c r="G84" s="197">
        <f t="shared" si="69"/>
        <v>0</v>
      </c>
      <c r="H84" s="197">
        <f t="shared" si="70"/>
        <v>0</v>
      </c>
      <c r="I84" s="198">
        <f t="shared" si="71"/>
        <v>0</v>
      </c>
      <c r="J84" s="257">
        <v>550</v>
      </c>
      <c r="K84" s="214">
        <f t="shared" si="72"/>
        <v>0.0445</v>
      </c>
      <c r="L84" s="197">
        <f t="shared" si="73"/>
        <v>24.48</v>
      </c>
      <c r="M84" s="197">
        <f t="shared" si="74"/>
        <v>0</v>
      </c>
      <c r="N84" s="198">
        <f t="shared" si="75"/>
        <v>24.48</v>
      </c>
      <c r="O84" s="199">
        <f t="shared" si="76"/>
        <v>24.48</v>
      </c>
      <c r="P84" s="235" t="s">
        <v>231</v>
      </c>
      <c r="Q84" s="446" t="s">
        <v>232</v>
      </c>
      <c r="R84" s="446"/>
      <c r="S84" s="76"/>
      <c r="T84" s="22" t="s">
        <v>41</v>
      </c>
      <c r="U84" s="200">
        <f t="shared" si="40"/>
        <v>24.48</v>
      </c>
      <c r="V84" s="200">
        <f t="shared" si="41"/>
        <v>2.53</v>
      </c>
      <c r="W84" s="197">
        <f t="shared" si="42"/>
        <v>9.18</v>
      </c>
      <c r="X84" s="197">
        <f t="shared" si="43"/>
        <v>0.02</v>
      </c>
      <c r="Y84" s="197"/>
      <c r="Z84" s="201">
        <f t="shared" si="44"/>
        <v>26.87</v>
      </c>
      <c r="AA84" s="202">
        <f t="shared" si="45"/>
        <v>63.08</v>
      </c>
      <c r="AB84" s="203">
        <f t="shared" si="46"/>
        <v>18.92</v>
      </c>
      <c r="AC84" s="204">
        <f t="shared" si="47"/>
        <v>82</v>
      </c>
      <c r="AD84" s="205">
        <f t="shared" si="48"/>
        <v>4.32</v>
      </c>
      <c r="AE84" s="206">
        <f t="shared" si="49"/>
        <v>86.32</v>
      </c>
      <c r="AF84" s="24"/>
      <c r="AG84" s="235" t="s">
        <v>231</v>
      </c>
      <c r="AH84" s="446" t="s">
        <v>232</v>
      </c>
      <c r="AI84" s="446"/>
      <c r="AJ84" s="78"/>
      <c r="AK84" s="78"/>
      <c r="AL84" s="207">
        <f t="shared" si="17"/>
        <v>86.32</v>
      </c>
      <c r="AM84" s="207"/>
      <c r="AN84" s="207">
        <f t="shared" si="18"/>
        <v>0</v>
      </c>
      <c r="AO84" s="19"/>
      <c r="AP84" s="24"/>
      <c r="AQ84" s="235" t="s">
        <v>231</v>
      </c>
      <c r="AR84" s="446" t="s">
        <v>232</v>
      </c>
      <c r="AS84" s="446"/>
      <c r="AT84" s="29">
        <v>0</v>
      </c>
      <c r="AU84" s="214">
        <f t="shared" si="19"/>
        <v>0.0565</v>
      </c>
      <c r="AV84" s="269">
        <f t="shared" si="20"/>
        <v>0</v>
      </c>
      <c r="AW84" s="269">
        <f t="shared" si="21"/>
        <v>0</v>
      </c>
      <c r="AX84" s="198">
        <f t="shared" si="22"/>
        <v>0</v>
      </c>
      <c r="AY84" s="190">
        <v>0</v>
      </c>
      <c r="AZ84" s="214">
        <f t="shared" si="23"/>
        <v>0.0445</v>
      </c>
      <c r="BA84" s="269">
        <f t="shared" si="24"/>
        <v>0</v>
      </c>
      <c r="BB84" s="269">
        <f t="shared" si="25"/>
        <v>0</v>
      </c>
      <c r="BC84" s="198">
        <f t="shared" si="26"/>
        <v>0</v>
      </c>
      <c r="BD84" s="199">
        <f t="shared" si="27"/>
        <v>0</v>
      </c>
      <c r="BE84" s="235" t="s">
        <v>231</v>
      </c>
      <c r="BF84" s="446" t="s">
        <v>232</v>
      </c>
      <c r="BG84" s="446"/>
      <c r="BH84" s="22"/>
      <c r="BI84" s="200">
        <f t="shared" si="30"/>
        <v>0</v>
      </c>
      <c r="BJ84" s="200">
        <f t="shared" si="31"/>
        <v>0</v>
      </c>
      <c r="BK84" s="197">
        <f t="shared" si="32"/>
        <v>0</v>
      </c>
      <c r="BL84" s="197">
        <f t="shared" si="33"/>
        <v>0</v>
      </c>
      <c r="BM84" s="197"/>
      <c r="BN84" s="201">
        <f t="shared" si="34"/>
        <v>0</v>
      </c>
      <c r="BO84" s="202">
        <f t="shared" si="35"/>
        <v>0</v>
      </c>
      <c r="BP84" s="203">
        <f t="shared" si="36"/>
        <v>0</v>
      </c>
      <c r="BQ84" s="204">
        <f t="shared" si="37"/>
        <v>0</v>
      </c>
      <c r="BR84" s="205">
        <f t="shared" si="38"/>
        <v>0</v>
      </c>
      <c r="BS84" s="206">
        <f t="shared" si="39"/>
        <v>0</v>
      </c>
      <c r="BT84" s="24"/>
    </row>
    <row r="85" spans="1:72" ht="30.75" customHeight="1">
      <c r="A85" s="24"/>
      <c r="B85" s="235" t="s">
        <v>233</v>
      </c>
      <c r="C85" s="236" t="s">
        <v>234</v>
      </c>
      <c r="D85" s="78" t="s">
        <v>53</v>
      </c>
      <c r="E85" s="307">
        <v>0</v>
      </c>
      <c r="F85" s="214">
        <f t="shared" si="68"/>
        <v>0.0565</v>
      </c>
      <c r="G85" s="197">
        <f t="shared" si="69"/>
        <v>0</v>
      </c>
      <c r="H85" s="197">
        <f t="shared" si="70"/>
        <v>0</v>
      </c>
      <c r="I85" s="198">
        <f t="shared" si="71"/>
        <v>0</v>
      </c>
      <c r="J85" s="257">
        <v>890</v>
      </c>
      <c r="K85" s="214">
        <f t="shared" si="72"/>
        <v>0.0445</v>
      </c>
      <c r="L85" s="197">
        <f t="shared" si="73"/>
        <v>39.61</v>
      </c>
      <c r="M85" s="197">
        <f t="shared" si="74"/>
        <v>0</v>
      </c>
      <c r="N85" s="198">
        <f t="shared" si="75"/>
        <v>39.61</v>
      </c>
      <c r="O85" s="199">
        <f t="shared" si="76"/>
        <v>39.61</v>
      </c>
      <c r="P85" s="235" t="s">
        <v>233</v>
      </c>
      <c r="Q85" s="446" t="s">
        <v>234</v>
      </c>
      <c r="R85" s="446"/>
      <c r="S85" s="76"/>
      <c r="T85" s="22" t="s">
        <v>41</v>
      </c>
      <c r="U85" s="200">
        <f t="shared" si="40"/>
        <v>39.61</v>
      </c>
      <c r="V85" s="200">
        <f t="shared" si="41"/>
        <v>4.1</v>
      </c>
      <c r="W85" s="197">
        <f t="shared" si="42"/>
        <v>14.86</v>
      </c>
      <c r="X85" s="197">
        <f t="shared" si="43"/>
        <v>0.03</v>
      </c>
      <c r="Y85" s="197"/>
      <c r="Z85" s="201">
        <f t="shared" si="44"/>
        <v>43.48</v>
      </c>
      <c r="AA85" s="202">
        <f t="shared" si="45"/>
        <v>102.08</v>
      </c>
      <c r="AB85" s="203">
        <f t="shared" si="46"/>
        <v>30.62</v>
      </c>
      <c r="AC85" s="204">
        <f t="shared" si="47"/>
        <v>132.7</v>
      </c>
      <c r="AD85" s="205">
        <f t="shared" si="48"/>
        <v>6.98</v>
      </c>
      <c r="AE85" s="206">
        <f t="shared" si="49"/>
        <v>139.67999999999998</v>
      </c>
      <c r="AF85" s="24"/>
      <c r="AG85" s="235" t="s">
        <v>233</v>
      </c>
      <c r="AH85" s="446" t="s">
        <v>234</v>
      </c>
      <c r="AI85" s="446"/>
      <c r="AJ85" s="78"/>
      <c r="AK85" s="78"/>
      <c r="AL85" s="207">
        <f t="shared" si="17"/>
        <v>139.67999999999998</v>
      </c>
      <c r="AM85" s="207"/>
      <c r="AN85" s="207">
        <f t="shared" si="18"/>
        <v>0</v>
      </c>
      <c r="AO85" s="19"/>
      <c r="AP85" s="24"/>
      <c r="AQ85" s="235" t="s">
        <v>233</v>
      </c>
      <c r="AR85" s="446" t="s">
        <v>234</v>
      </c>
      <c r="AS85" s="446"/>
      <c r="AT85" s="29">
        <v>0</v>
      </c>
      <c r="AU85" s="214">
        <f t="shared" si="19"/>
        <v>0.0565</v>
      </c>
      <c r="AV85" s="269">
        <f t="shared" si="20"/>
        <v>0</v>
      </c>
      <c r="AW85" s="269">
        <f t="shared" si="21"/>
        <v>0</v>
      </c>
      <c r="AX85" s="198">
        <f t="shared" si="22"/>
        <v>0</v>
      </c>
      <c r="AY85" s="190">
        <v>0</v>
      </c>
      <c r="AZ85" s="214">
        <f t="shared" si="23"/>
        <v>0.0445</v>
      </c>
      <c r="BA85" s="269">
        <f t="shared" si="24"/>
        <v>0</v>
      </c>
      <c r="BB85" s="269">
        <f t="shared" si="25"/>
        <v>0</v>
      </c>
      <c r="BC85" s="198">
        <f t="shared" si="26"/>
        <v>0</v>
      </c>
      <c r="BD85" s="199">
        <f t="shared" si="27"/>
        <v>0</v>
      </c>
      <c r="BE85" s="235" t="s">
        <v>233</v>
      </c>
      <c r="BF85" s="446" t="s">
        <v>234</v>
      </c>
      <c r="BG85" s="446"/>
      <c r="BH85" s="22"/>
      <c r="BI85" s="200">
        <f t="shared" si="30"/>
        <v>0</v>
      </c>
      <c r="BJ85" s="200">
        <f t="shared" si="31"/>
        <v>0</v>
      </c>
      <c r="BK85" s="197">
        <f t="shared" si="32"/>
        <v>0</v>
      </c>
      <c r="BL85" s="197">
        <f t="shared" si="33"/>
        <v>0</v>
      </c>
      <c r="BM85" s="197"/>
      <c r="BN85" s="201">
        <f t="shared" si="34"/>
        <v>0</v>
      </c>
      <c r="BO85" s="202">
        <f t="shared" si="35"/>
        <v>0</v>
      </c>
      <c r="BP85" s="203">
        <f t="shared" si="36"/>
        <v>0</v>
      </c>
      <c r="BQ85" s="204">
        <f t="shared" si="37"/>
        <v>0</v>
      </c>
      <c r="BR85" s="205">
        <f t="shared" si="38"/>
        <v>0</v>
      </c>
      <c r="BS85" s="206">
        <f t="shared" si="39"/>
        <v>0</v>
      </c>
      <c r="BT85" s="24"/>
    </row>
    <row r="86" spans="1:72" ht="33" customHeight="1">
      <c r="A86" s="24"/>
      <c r="B86" s="235" t="s">
        <v>235</v>
      </c>
      <c r="C86" s="236" t="s">
        <v>236</v>
      </c>
      <c r="D86" s="78" t="s">
        <v>53</v>
      </c>
      <c r="E86" s="190">
        <v>350</v>
      </c>
      <c r="F86" s="214">
        <f t="shared" si="68"/>
        <v>0.0565</v>
      </c>
      <c r="G86" s="197">
        <f t="shared" si="69"/>
        <v>19.78</v>
      </c>
      <c r="H86" s="197">
        <f t="shared" si="70"/>
        <v>0</v>
      </c>
      <c r="I86" s="198">
        <f t="shared" si="71"/>
        <v>19.78</v>
      </c>
      <c r="J86" s="257">
        <v>0</v>
      </c>
      <c r="K86" s="214">
        <f t="shared" si="72"/>
        <v>0.0445</v>
      </c>
      <c r="L86" s="197">
        <f t="shared" si="73"/>
        <v>0</v>
      </c>
      <c r="M86" s="197">
        <f t="shared" si="74"/>
        <v>0</v>
      </c>
      <c r="N86" s="198">
        <f t="shared" si="75"/>
        <v>0</v>
      </c>
      <c r="O86" s="199">
        <f t="shared" si="76"/>
        <v>19.78</v>
      </c>
      <c r="P86" s="235" t="s">
        <v>235</v>
      </c>
      <c r="Q86" s="446" t="s">
        <v>236</v>
      </c>
      <c r="R86" s="446"/>
      <c r="S86" s="76"/>
      <c r="T86" s="22" t="s">
        <v>704</v>
      </c>
      <c r="U86" s="200">
        <f t="shared" si="40"/>
        <v>19.78</v>
      </c>
      <c r="V86" s="200">
        <f t="shared" si="41"/>
        <v>2.05</v>
      </c>
      <c r="W86" s="197">
        <f t="shared" si="42"/>
        <v>7.42</v>
      </c>
      <c r="X86" s="197">
        <f t="shared" si="43"/>
        <v>0.02</v>
      </c>
      <c r="Y86" s="197"/>
      <c r="Z86" s="201">
        <f t="shared" si="44"/>
        <v>21.71</v>
      </c>
      <c r="AA86" s="202">
        <f t="shared" si="45"/>
        <v>50.980000000000004</v>
      </c>
      <c r="AB86" s="203">
        <f t="shared" si="46"/>
        <v>15.29</v>
      </c>
      <c r="AC86" s="204">
        <f t="shared" si="47"/>
        <v>66.27000000000001</v>
      </c>
      <c r="AD86" s="205">
        <f t="shared" si="48"/>
        <v>3.49</v>
      </c>
      <c r="AE86" s="206">
        <f t="shared" si="49"/>
        <v>69.76</v>
      </c>
      <c r="AF86" s="24"/>
      <c r="AG86" s="235" t="s">
        <v>235</v>
      </c>
      <c r="AH86" s="446" t="s">
        <v>236</v>
      </c>
      <c r="AI86" s="446"/>
      <c r="AJ86" s="78"/>
      <c r="AK86" s="78"/>
      <c r="AL86" s="207">
        <f t="shared" si="17"/>
        <v>69.76</v>
      </c>
      <c r="AM86" s="207"/>
      <c r="AN86" s="207">
        <f t="shared" si="18"/>
        <v>0</v>
      </c>
      <c r="AO86" s="19"/>
      <c r="AP86" s="24"/>
      <c r="AQ86" s="235" t="s">
        <v>235</v>
      </c>
      <c r="AR86" s="446" t="s">
        <v>236</v>
      </c>
      <c r="AS86" s="446"/>
      <c r="AT86" s="29">
        <v>0</v>
      </c>
      <c r="AU86" s="214">
        <f t="shared" si="19"/>
        <v>0.0565</v>
      </c>
      <c r="AV86" s="269">
        <f t="shared" si="20"/>
        <v>0</v>
      </c>
      <c r="AW86" s="269">
        <f t="shared" si="21"/>
        <v>0</v>
      </c>
      <c r="AX86" s="198">
        <f t="shared" si="22"/>
        <v>0</v>
      </c>
      <c r="AY86" s="190">
        <v>0</v>
      </c>
      <c r="AZ86" s="214">
        <f t="shared" si="23"/>
        <v>0.0445</v>
      </c>
      <c r="BA86" s="269">
        <f t="shared" si="24"/>
        <v>0</v>
      </c>
      <c r="BB86" s="269">
        <f t="shared" si="25"/>
        <v>0</v>
      </c>
      <c r="BC86" s="198">
        <f t="shared" si="26"/>
        <v>0</v>
      </c>
      <c r="BD86" s="199">
        <f t="shared" si="27"/>
        <v>0</v>
      </c>
      <c r="BE86" s="235" t="s">
        <v>235</v>
      </c>
      <c r="BF86" s="446" t="s">
        <v>236</v>
      </c>
      <c r="BG86" s="446"/>
      <c r="BH86" s="22"/>
      <c r="BI86" s="200">
        <f t="shared" si="30"/>
        <v>0</v>
      </c>
      <c r="BJ86" s="200">
        <f t="shared" si="31"/>
        <v>0</v>
      </c>
      <c r="BK86" s="197">
        <f t="shared" si="32"/>
        <v>0</v>
      </c>
      <c r="BL86" s="197">
        <f t="shared" si="33"/>
        <v>0</v>
      </c>
      <c r="BM86" s="197"/>
      <c r="BN86" s="201">
        <f t="shared" si="34"/>
        <v>0</v>
      </c>
      <c r="BO86" s="202">
        <f t="shared" si="35"/>
        <v>0</v>
      </c>
      <c r="BP86" s="203">
        <f t="shared" si="36"/>
        <v>0</v>
      </c>
      <c r="BQ86" s="204">
        <f t="shared" si="37"/>
        <v>0</v>
      </c>
      <c r="BR86" s="205">
        <f t="shared" si="38"/>
        <v>0</v>
      </c>
      <c r="BS86" s="206">
        <f t="shared" si="39"/>
        <v>0</v>
      </c>
      <c r="BT86" s="24"/>
    </row>
    <row r="87" spans="1:72" ht="21" customHeight="1">
      <c r="A87" s="24"/>
      <c r="B87" s="233" t="s">
        <v>237</v>
      </c>
      <c r="C87" s="234" t="s">
        <v>238</v>
      </c>
      <c r="D87" s="251"/>
      <c r="E87" s="255"/>
      <c r="F87" s="256"/>
      <c r="G87" s="253"/>
      <c r="H87" s="253"/>
      <c r="I87" s="254"/>
      <c r="J87" s="257"/>
      <c r="K87" s="255"/>
      <c r="L87" s="253"/>
      <c r="M87" s="253"/>
      <c r="N87" s="254"/>
      <c r="O87" s="220"/>
      <c r="P87" s="233" t="s">
        <v>237</v>
      </c>
      <c r="Q87" s="442" t="s">
        <v>238</v>
      </c>
      <c r="R87" s="442"/>
      <c r="S87" s="76"/>
      <c r="T87" s="219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20"/>
      <c r="AF87" s="24"/>
      <c r="AG87" s="233" t="s">
        <v>237</v>
      </c>
      <c r="AH87" s="442" t="s">
        <v>238</v>
      </c>
      <c r="AI87" s="442"/>
      <c r="AJ87" s="78"/>
      <c r="AK87" s="78"/>
      <c r="AL87" s="207"/>
      <c r="AM87" s="207"/>
      <c r="AN87" s="207"/>
      <c r="AO87" s="19"/>
      <c r="AP87" s="24"/>
      <c r="AQ87" s="233" t="s">
        <v>237</v>
      </c>
      <c r="AR87" s="442" t="s">
        <v>238</v>
      </c>
      <c r="AS87" s="442"/>
      <c r="AT87" s="29"/>
      <c r="AU87" s="256"/>
      <c r="AV87" s="254"/>
      <c r="AW87" s="254"/>
      <c r="AX87" s="254"/>
      <c r="AY87" s="255"/>
      <c r="AZ87" s="256"/>
      <c r="BA87" s="254"/>
      <c r="BB87" s="254"/>
      <c r="BC87" s="254"/>
      <c r="BD87" s="220"/>
      <c r="BE87" s="233" t="s">
        <v>237</v>
      </c>
      <c r="BF87" s="442" t="s">
        <v>238</v>
      </c>
      <c r="BG87" s="442"/>
      <c r="BH87" s="219"/>
      <c r="BI87" s="253"/>
      <c r="BJ87" s="253"/>
      <c r="BK87" s="253"/>
      <c r="BL87" s="253"/>
      <c r="BM87" s="253"/>
      <c r="BN87" s="253"/>
      <c r="BO87" s="253"/>
      <c r="BP87" s="253"/>
      <c r="BQ87" s="253"/>
      <c r="BR87" s="253"/>
      <c r="BS87" s="220"/>
      <c r="BT87" s="24"/>
    </row>
    <row r="88" spans="1:72" ht="97.5" customHeight="1">
      <c r="A88" s="24"/>
      <c r="B88" s="235" t="s">
        <v>239</v>
      </c>
      <c r="C88" s="236" t="s">
        <v>240</v>
      </c>
      <c r="D88" s="78" t="s">
        <v>53</v>
      </c>
      <c r="E88" s="257">
        <v>250</v>
      </c>
      <c r="F88" s="214">
        <f>$G$17</f>
        <v>0.0565</v>
      </c>
      <c r="G88" s="197">
        <f>ROUND(E88*F88,2)</f>
        <v>14.13</v>
      </c>
      <c r="H88" s="197">
        <f>ROUND(G88*($A$16+$A$17)/100,2)</f>
        <v>0</v>
      </c>
      <c r="I88" s="198">
        <f>SUM(G88:H88)</f>
        <v>14.13</v>
      </c>
      <c r="J88" s="257">
        <v>0</v>
      </c>
      <c r="K88" s="214">
        <f>$G$21</f>
        <v>0.0445</v>
      </c>
      <c r="L88" s="197">
        <f>ROUND(J88*K88,2)</f>
        <v>0</v>
      </c>
      <c r="M88" s="197">
        <f>ROUND(L88*($A$16+$A$17)/100,2)</f>
        <v>0</v>
      </c>
      <c r="N88" s="198">
        <f>SUM(L88:M88)</f>
        <v>0</v>
      </c>
      <c r="O88" s="199">
        <f>SUM(I88,N88)</f>
        <v>14.13</v>
      </c>
      <c r="P88" s="235" t="s">
        <v>239</v>
      </c>
      <c r="Q88" s="446" t="s">
        <v>240</v>
      </c>
      <c r="R88" s="446"/>
      <c r="S88" s="76"/>
      <c r="T88" s="22" t="s">
        <v>704</v>
      </c>
      <c r="U88" s="200">
        <f t="shared" si="40"/>
        <v>14.13</v>
      </c>
      <c r="V88" s="200">
        <f t="shared" si="41"/>
        <v>1.46</v>
      </c>
      <c r="W88" s="197">
        <f t="shared" si="42"/>
        <v>5.3</v>
      </c>
      <c r="X88" s="197">
        <f t="shared" si="43"/>
        <v>0.01</v>
      </c>
      <c r="Y88" s="197"/>
      <c r="Z88" s="201">
        <f t="shared" si="44"/>
        <v>15.51</v>
      </c>
      <c r="AA88" s="202">
        <f t="shared" si="45"/>
        <v>36.410000000000004</v>
      </c>
      <c r="AB88" s="203">
        <f t="shared" si="46"/>
        <v>10.92</v>
      </c>
      <c r="AC88" s="204">
        <f t="shared" si="47"/>
        <v>47.330000000000005</v>
      </c>
      <c r="AD88" s="205">
        <f t="shared" si="48"/>
        <v>2.49</v>
      </c>
      <c r="AE88" s="206">
        <f t="shared" si="49"/>
        <v>49.82000000000001</v>
      </c>
      <c r="AF88" s="24"/>
      <c r="AG88" s="235" t="s">
        <v>239</v>
      </c>
      <c r="AH88" s="446" t="s">
        <v>240</v>
      </c>
      <c r="AI88" s="446"/>
      <c r="AJ88" s="78"/>
      <c r="AK88" s="78"/>
      <c r="AL88" s="207">
        <f t="shared" si="17"/>
        <v>49.82000000000001</v>
      </c>
      <c r="AM88" s="207"/>
      <c r="AN88" s="207">
        <f t="shared" si="18"/>
        <v>0</v>
      </c>
      <c r="AO88" s="19"/>
      <c r="AP88" s="24"/>
      <c r="AQ88" s="235" t="s">
        <v>239</v>
      </c>
      <c r="AR88" s="446" t="s">
        <v>240</v>
      </c>
      <c r="AS88" s="446"/>
      <c r="AT88" s="29">
        <v>0</v>
      </c>
      <c r="AU88" s="214">
        <f t="shared" si="19"/>
        <v>0.0565</v>
      </c>
      <c r="AV88" s="269">
        <f t="shared" si="20"/>
        <v>0</v>
      </c>
      <c r="AW88" s="269">
        <f t="shared" si="21"/>
        <v>0</v>
      </c>
      <c r="AX88" s="198">
        <f t="shared" si="22"/>
        <v>0</v>
      </c>
      <c r="AY88" s="190">
        <v>0</v>
      </c>
      <c r="AZ88" s="214">
        <f t="shared" si="23"/>
        <v>0.0445</v>
      </c>
      <c r="BA88" s="269">
        <f t="shared" si="24"/>
        <v>0</v>
      </c>
      <c r="BB88" s="269">
        <f t="shared" si="25"/>
        <v>0</v>
      </c>
      <c r="BC88" s="198">
        <f t="shared" si="26"/>
        <v>0</v>
      </c>
      <c r="BD88" s="199">
        <f t="shared" si="27"/>
        <v>0</v>
      </c>
      <c r="BE88" s="235" t="s">
        <v>239</v>
      </c>
      <c r="BF88" s="446" t="s">
        <v>240</v>
      </c>
      <c r="BG88" s="446"/>
      <c r="BH88" s="22"/>
      <c r="BI88" s="200">
        <f t="shared" si="30"/>
        <v>0</v>
      </c>
      <c r="BJ88" s="200">
        <f t="shared" si="31"/>
        <v>0</v>
      </c>
      <c r="BK88" s="197">
        <f t="shared" si="32"/>
        <v>0</v>
      </c>
      <c r="BL88" s="197">
        <f t="shared" si="33"/>
        <v>0</v>
      </c>
      <c r="BM88" s="197"/>
      <c r="BN88" s="201">
        <f t="shared" si="34"/>
        <v>0</v>
      </c>
      <c r="BO88" s="202">
        <f t="shared" si="35"/>
        <v>0</v>
      </c>
      <c r="BP88" s="203">
        <f t="shared" si="36"/>
        <v>0</v>
      </c>
      <c r="BQ88" s="204">
        <f t="shared" si="37"/>
        <v>0</v>
      </c>
      <c r="BR88" s="205">
        <f t="shared" si="38"/>
        <v>0</v>
      </c>
      <c r="BS88" s="206">
        <f t="shared" si="39"/>
        <v>0</v>
      </c>
      <c r="BT88" s="24"/>
    </row>
    <row r="89" spans="1:72" ht="38.25" customHeight="1">
      <c r="A89" s="24"/>
      <c r="B89" s="233" t="s">
        <v>241</v>
      </c>
      <c r="C89" s="234" t="s">
        <v>242</v>
      </c>
      <c r="D89" s="251"/>
      <c r="E89" s="255"/>
      <c r="F89" s="256"/>
      <c r="G89" s="253"/>
      <c r="H89" s="253"/>
      <c r="I89" s="254"/>
      <c r="J89" s="257"/>
      <c r="K89" s="255"/>
      <c r="L89" s="253"/>
      <c r="M89" s="253"/>
      <c r="N89" s="254"/>
      <c r="O89" s="220"/>
      <c r="P89" s="233" t="s">
        <v>241</v>
      </c>
      <c r="Q89" s="442" t="s">
        <v>242</v>
      </c>
      <c r="R89" s="442"/>
      <c r="S89" s="76"/>
      <c r="T89" s="219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20"/>
      <c r="AF89" s="24"/>
      <c r="AG89" s="233" t="s">
        <v>241</v>
      </c>
      <c r="AH89" s="442" t="s">
        <v>242</v>
      </c>
      <c r="AI89" s="442"/>
      <c r="AJ89" s="78"/>
      <c r="AK89" s="78"/>
      <c r="AL89" s="207"/>
      <c r="AM89" s="207"/>
      <c r="AN89" s="207"/>
      <c r="AO89" s="19"/>
      <c r="AP89" s="24"/>
      <c r="AQ89" s="233" t="s">
        <v>241</v>
      </c>
      <c r="AR89" s="442" t="s">
        <v>242</v>
      </c>
      <c r="AS89" s="442"/>
      <c r="AT89" s="29"/>
      <c r="AU89" s="256"/>
      <c r="AV89" s="254"/>
      <c r="AW89" s="254"/>
      <c r="AX89" s="254"/>
      <c r="AY89" s="255"/>
      <c r="AZ89" s="256"/>
      <c r="BA89" s="254"/>
      <c r="BB89" s="254"/>
      <c r="BC89" s="254"/>
      <c r="BD89" s="220"/>
      <c r="BE89" s="233" t="s">
        <v>241</v>
      </c>
      <c r="BF89" s="442" t="s">
        <v>242</v>
      </c>
      <c r="BG89" s="442"/>
      <c r="BH89" s="219"/>
      <c r="BI89" s="253"/>
      <c r="BJ89" s="253"/>
      <c r="BK89" s="253"/>
      <c r="BL89" s="253"/>
      <c r="BM89" s="253"/>
      <c r="BN89" s="253"/>
      <c r="BO89" s="253"/>
      <c r="BP89" s="253"/>
      <c r="BQ89" s="253"/>
      <c r="BR89" s="253"/>
      <c r="BS89" s="220"/>
      <c r="BT89" s="24"/>
    </row>
    <row r="90" spans="1:72" ht="18.75" customHeight="1">
      <c r="A90" s="84"/>
      <c r="B90" s="235" t="s">
        <v>243</v>
      </c>
      <c r="C90" s="236" t="s">
        <v>244</v>
      </c>
      <c r="D90" s="78" t="s">
        <v>53</v>
      </c>
      <c r="E90" s="257">
        <v>350</v>
      </c>
      <c r="F90" s="214">
        <f>$G$17</f>
        <v>0.0565</v>
      </c>
      <c r="G90" s="197">
        <f>ROUND(E90*F90,2)</f>
        <v>19.78</v>
      </c>
      <c r="H90" s="197">
        <f>ROUND(G90*($A$16+$A$17)/100,2)</f>
        <v>0</v>
      </c>
      <c r="I90" s="198">
        <f>SUM(G90:H90)</f>
        <v>19.78</v>
      </c>
      <c r="J90" s="257">
        <v>0</v>
      </c>
      <c r="K90" s="214">
        <f>$G$21</f>
        <v>0.0445</v>
      </c>
      <c r="L90" s="197">
        <f>ROUND(J90*K90,2)</f>
        <v>0</v>
      </c>
      <c r="M90" s="197">
        <f>ROUND(L90*($A$16+$A$17)/100,2)</f>
        <v>0</v>
      </c>
      <c r="N90" s="198">
        <f>SUM(L90:M90)</f>
        <v>0</v>
      </c>
      <c r="O90" s="199">
        <f>SUM(I90,N90)</f>
        <v>19.78</v>
      </c>
      <c r="P90" s="235" t="s">
        <v>243</v>
      </c>
      <c r="Q90" s="446" t="s">
        <v>244</v>
      </c>
      <c r="R90" s="446"/>
      <c r="S90" s="76"/>
      <c r="T90" s="22" t="s">
        <v>704</v>
      </c>
      <c r="U90" s="200">
        <f t="shared" si="40"/>
        <v>19.78</v>
      </c>
      <c r="V90" s="200">
        <f t="shared" si="41"/>
        <v>2.05</v>
      </c>
      <c r="W90" s="197">
        <f t="shared" si="42"/>
        <v>7.42</v>
      </c>
      <c r="X90" s="197">
        <f t="shared" si="43"/>
        <v>0.02</v>
      </c>
      <c r="Y90" s="197"/>
      <c r="Z90" s="201">
        <f t="shared" si="44"/>
        <v>21.71</v>
      </c>
      <c r="AA90" s="202">
        <f t="shared" si="45"/>
        <v>50.980000000000004</v>
      </c>
      <c r="AB90" s="203">
        <f t="shared" si="46"/>
        <v>15.29</v>
      </c>
      <c r="AC90" s="204">
        <f t="shared" si="47"/>
        <v>66.27000000000001</v>
      </c>
      <c r="AD90" s="205">
        <f t="shared" si="48"/>
        <v>3.49</v>
      </c>
      <c r="AE90" s="206">
        <f t="shared" si="49"/>
        <v>69.76</v>
      </c>
      <c r="AF90" s="84"/>
      <c r="AG90" s="235" t="s">
        <v>243</v>
      </c>
      <c r="AH90" s="446" t="s">
        <v>244</v>
      </c>
      <c r="AI90" s="446"/>
      <c r="AJ90" s="78" t="s">
        <v>54</v>
      </c>
      <c r="AK90" s="78"/>
      <c r="AL90" s="207">
        <f t="shared" si="17"/>
        <v>69.76</v>
      </c>
      <c r="AM90" s="207"/>
      <c r="AN90" s="207">
        <f t="shared" si="18"/>
        <v>0</v>
      </c>
      <c r="AO90" s="19"/>
      <c r="AP90" s="84"/>
      <c r="AQ90" s="235" t="s">
        <v>243</v>
      </c>
      <c r="AR90" s="446" t="s">
        <v>244</v>
      </c>
      <c r="AS90" s="446"/>
      <c r="AT90" s="29">
        <v>0</v>
      </c>
      <c r="AU90" s="214">
        <f t="shared" si="19"/>
        <v>0.0565</v>
      </c>
      <c r="AV90" s="269">
        <f t="shared" si="20"/>
        <v>0</v>
      </c>
      <c r="AW90" s="269">
        <f t="shared" si="21"/>
        <v>0</v>
      </c>
      <c r="AX90" s="198">
        <f t="shared" si="22"/>
        <v>0</v>
      </c>
      <c r="AY90" s="190">
        <v>0</v>
      </c>
      <c r="AZ90" s="214">
        <f t="shared" si="23"/>
        <v>0.0445</v>
      </c>
      <c r="BA90" s="269">
        <f t="shared" si="24"/>
        <v>0</v>
      </c>
      <c r="BB90" s="269">
        <f t="shared" si="25"/>
        <v>0</v>
      </c>
      <c r="BC90" s="198">
        <f t="shared" si="26"/>
        <v>0</v>
      </c>
      <c r="BD90" s="199">
        <f t="shared" si="27"/>
        <v>0</v>
      </c>
      <c r="BE90" s="235" t="s">
        <v>243</v>
      </c>
      <c r="BF90" s="446" t="s">
        <v>244</v>
      </c>
      <c r="BG90" s="446"/>
      <c r="BH90" s="22" t="s">
        <v>54</v>
      </c>
      <c r="BI90" s="200">
        <f t="shared" si="30"/>
        <v>0</v>
      </c>
      <c r="BJ90" s="200">
        <f t="shared" si="31"/>
        <v>0</v>
      </c>
      <c r="BK90" s="197">
        <f t="shared" si="32"/>
        <v>0</v>
      </c>
      <c r="BL90" s="197">
        <f t="shared" si="33"/>
        <v>0</v>
      </c>
      <c r="BM90" s="197"/>
      <c r="BN90" s="201">
        <f t="shared" si="34"/>
        <v>0</v>
      </c>
      <c r="BO90" s="202">
        <f t="shared" si="35"/>
        <v>0</v>
      </c>
      <c r="BP90" s="203">
        <f t="shared" si="36"/>
        <v>0</v>
      </c>
      <c r="BQ90" s="204">
        <f t="shared" si="37"/>
        <v>0</v>
      </c>
      <c r="BR90" s="205">
        <f t="shared" si="38"/>
        <v>0</v>
      </c>
      <c r="BS90" s="206">
        <f t="shared" si="39"/>
        <v>0</v>
      </c>
      <c r="BT90" s="84"/>
    </row>
    <row r="91" spans="1:72" ht="18.75" customHeight="1">
      <c r="A91" s="84"/>
      <c r="B91" s="235" t="s">
        <v>245</v>
      </c>
      <c r="C91" s="236" t="s">
        <v>246</v>
      </c>
      <c r="D91" s="78" t="s">
        <v>53</v>
      </c>
      <c r="E91" s="257">
        <v>350</v>
      </c>
      <c r="F91" s="214">
        <f>$G$17</f>
        <v>0.0565</v>
      </c>
      <c r="G91" s="197">
        <f>ROUND(E91*F91,2)</f>
        <v>19.78</v>
      </c>
      <c r="H91" s="197">
        <f>ROUND(G91*($A$16+$A$17)/100,2)</f>
        <v>0</v>
      </c>
      <c r="I91" s="198">
        <f>SUM(G91:H91)</f>
        <v>19.78</v>
      </c>
      <c r="J91" s="257">
        <v>0</v>
      </c>
      <c r="K91" s="214">
        <f>$G$21</f>
        <v>0.0445</v>
      </c>
      <c r="L91" s="197">
        <f>ROUND(J91*K91,2)</f>
        <v>0</v>
      </c>
      <c r="M91" s="197">
        <f>ROUND(L91*($A$16+$A$17)/100,2)</f>
        <v>0</v>
      </c>
      <c r="N91" s="198">
        <f>SUM(L91:M91)</f>
        <v>0</v>
      </c>
      <c r="O91" s="199">
        <f>SUM(I91,N91)</f>
        <v>19.78</v>
      </c>
      <c r="P91" s="235" t="s">
        <v>245</v>
      </c>
      <c r="Q91" s="446" t="s">
        <v>246</v>
      </c>
      <c r="R91" s="446"/>
      <c r="S91" s="76"/>
      <c r="T91" s="22" t="s">
        <v>704</v>
      </c>
      <c r="U91" s="200">
        <f t="shared" si="40"/>
        <v>19.78</v>
      </c>
      <c r="V91" s="200">
        <f t="shared" si="41"/>
        <v>2.05</v>
      </c>
      <c r="W91" s="197">
        <f t="shared" si="42"/>
        <v>7.42</v>
      </c>
      <c r="X91" s="197">
        <f t="shared" si="43"/>
        <v>0.02</v>
      </c>
      <c r="Y91" s="197"/>
      <c r="Z91" s="201">
        <f t="shared" si="44"/>
        <v>21.71</v>
      </c>
      <c r="AA91" s="202">
        <f t="shared" si="45"/>
        <v>50.980000000000004</v>
      </c>
      <c r="AB91" s="203">
        <f t="shared" si="46"/>
        <v>15.29</v>
      </c>
      <c r="AC91" s="204">
        <f t="shared" si="47"/>
        <v>66.27000000000001</v>
      </c>
      <c r="AD91" s="205">
        <f t="shared" si="48"/>
        <v>3.49</v>
      </c>
      <c r="AE91" s="206">
        <f t="shared" si="49"/>
        <v>69.76</v>
      </c>
      <c r="AF91" s="84"/>
      <c r="AG91" s="235" t="s">
        <v>245</v>
      </c>
      <c r="AH91" s="446" t="s">
        <v>246</v>
      </c>
      <c r="AI91" s="446"/>
      <c r="AJ91" s="78" t="s">
        <v>54</v>
      </c>
      <c r="AK91" s="78"/>
      <c r="AL91" s="207">
        <f t="shared" si="17"/>
        <v>69.76</v>
      </c>
      <c r="AM91" s="207"/>
      <c r="AN91" s="207">
        <f t="shared" si="18"/>
        <v>0</v>
      </c>
      <c r="AO91" s="19"/>
      <c r="AP91" s="84"/>
      <c r="AQ91" s="235" t="s">
        <v>245</v>
      </c>
      <c r="AR91" s="446" t="s">
        <v>246</v>
      </c>
      <c r="AS91" s="446"/>
      <c r="AT91" s="29">
        <v>0</v>
      </c>
      <c r="AU91" s="214">
        <f t="shared" si="19"/>
        <v>0.0565</v>
      </c>
      <c r="AV91" s="269">
        <f t="shared" si="20"/>
        <v>0</v>
      </c>
      <c r="AW91" s="269">
        <f t="shared" si="21"/>
        <v>0</v>
      </c>
      <c r="AX91" s="198">
        <f t="shared" si="22"/>
        <v>0</v>
      </c>
      <c r="AY91" s="190">
        <v>0</v>
      </c>
      <c r="AZ91" s="214">
        <f t="shared" si="23"/>
        <v>0.0445</v>
      </c>
      <c r="BA91" s="269">
        <f t="shared" si="24"/>
        <v>0</v>
      </c>
      <c r="BB91" s="269">
        <f t="shared" si="25"/>
        <v>0</v>
      </c>
      <c r="BC91" s="198">
        <f t="shared" si="26"/>
        <v>0</v>
      </c>
      <c r="BD91" s="199">
        <f t="shared" si="27"/>
        <v>0</v>
      </c>
      <c r="BE91" s="235" t="s">
        <v>245</v>
      </c>
      <c r="BF91" s="446" t="s">
        <v>246</v>
      </c>
      <c r="BG91" s="446"/>
      <c r="BH91" s="22" t="s">
        <v>54</v>
      </c>
      <c r="BI91" s="200">
        <f t="shared" si="30"/>
        <v>0</v>
      </c>
      <c r="BJ91" s="200">
        <f t="shared" si="31"/>
        <v>0</v>
      </c>
      <c r="BK91" s="197">
        <f t="shared" si="32"/>
        <v>0</v>
      </c>
      <c r="BL91" s="197">
        <f t="shared" si="33"/>
        <v>0</v>
      </c>
      <c r="BM91" s="197"/>
      <c r="BN91" s="201">
        <f t="shared" si="34"/>
        <v>0</v>
      </c>
      <c r="BO91" s="202">
        <f t="shared" si="35"/>
        <v>0</v>
      </c>
      <c r="BP91" s="203">
        <f t="shared" si="36"/>
        <v>0</v>
      </c>
      <c r="BQ91" s="204">
        <f t="shared" si="37"/>
        <v>0</v>
      </c>
      <c r="BR91" s="205">
        <f t="shared" si="38"/>
        <v>0</v>
      </c>
      <c r="BS91" s="206">
        <f t="shared" si="39"/>
        <v>0</v>
      </c>
      <c r="BT91" s="84"/>
    </row>
    <row r="92" spans="1:72" ht="12.75">
      <c r="A92" s="24"/>
      <c r="B92" s="249"/>
      <c r="C92" s="238"/>
      <c r="D92" s="251"/>
      <c r="E92" s="255"/>
      <c r="F92" s="256"/>
      <c r="G92" s="253"/>
      <c r="H92" s="253"/>
      <c r="I92" s="254"/>
      <c r="J92" s="257"/>
      <c r="K92" s="255"/>
      <c r="L92" s="253"/>
      <c r="M92" s="253"/>
      <c r="N92" s="254"/>
      <c r="O92" s="220"/>
      <c r="P92" s="249"/>
      <c r="Q92" s="439"/>
      <c r="R92" s="439"/>
      <c r="S92" s="76"/>
      <c r="T92" s="219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20"/>
      <c r="AF92" s="24"/>
      <c r="AG92" s="249"/>
      <c r="AH92" s="439"/>
      <c r="AI92" s="439"/>
      <c r="AJ92" s="78"/>
      <c r="AK92" s="78"/>
      <c r="AL92" s="207"/>
      <c r="AM92" s="207"/>
      <c r="AN92" s="207"/>
      <c r="AO92" s="19"/>
      <c r="AP92" s="24"/>
      <c r="AQ92" s="249"/>
      <c r="AR92" s="439"/>
      <c r="AS92" s="439"/>
      <c r="AT92" s="29"/>
      <c r="AU92" s="256"/>
      <c r="AV92" s="254"/>
      <c r="AW92" s="254"/>
      <c r="AX92" s="254"/>
      <c r="AY92" s="255"/>
      <c r="AZ92" s="256"/>
      <c r="BA92" s="254"/>
      <c r="BB92" s="254"/>
      <c r="BC92" s="254"/>
      <c r="BD92" s="220"/>
      <c r="BE92" s="249"/>
      <c r="BF92" s="439"/>
      <c r="BG92" s="439"/>
      <c r="BH92" s="22"/>
      <c r="BI92" s="200">
        <f t="shared" si="30"/>
        <v>0</v>
      </c>
      <c r="BJ92" s="200">
        <f t="shared" si="31"/>
        <v>0</v>
      </c>
      <c r="BK92" s="197">
        <f t="shared" si="32"/>
        <v>0</v>
      </c>
      <c r="BL92" s="197">
        <f t="shared" si="33"/>
        <v>0</v>
      </c>
      <c r="BM92" s="197"/>
      <c r="BN92" s="201">
        <f t="shared" si="34"/>
        <v>0</v>
      </c>
      <c r="BO92" s="202">
        <f t="shared" si="35"/>
        <v>0</v>
      </c>
      <c r="BP92" s="203">
        <f t="shared" si="36"/>
        <v>0</v>
      </c>
      <c r="BQ92" s="204">
        <f t="shared" si="37"/>
        <v>0</v>
      </c>
      <c r="BR92" s="205">
        <f t="shared" si="38"/>
        <v>0</v>
      </c>
      <c r="BS92" s="206">
        <f t="shared" si="39"/>
        <v>0</v>
      </c>
      <c r="BT92" s="24"/>
    </row>
    <row r="93" spans="1:72" ht="45" customHeight="1">
      <c r="A93" s="24"/>
      <c r="B93" s="239" t="s">
        <v>692</v>
      </c>
      <c r="C93" s="240" t="s">
        <v>693</v>
      </c>
      <c r="D93" s="251"/>
      <c r="E93" s="255"/>
      <c r="F93" s="256"/>
      <c r="G93" s="253"/>
      <c r="H93" s="253"/>
      <c r="I93" s="254"/>
      <c r="J93" s="257"/>
      <c r="K93" s="255"/>
      <c r="L93" s="253"/>
      <c r="M93" s="253"/>
      <c r="N93" s="254"/>
      <c r="O93" s="220"/>
      <c r="P93" s="239" t="s">
        <v>692</v>
      </c>
      <c r="Q93" s="437" t="s">
        <v>693</v>
      </c>
      <c r="R93" s="437"/>
      <c r="S93" s="76"/>
      <c r="T93" s="219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20"/>
      <c r="AF93" s="24"/>
      <c r="AG93" s="239" t="s">
        <v>692</v>
      </c>
      <c r="AH93" s="437" t="s">
        <v>693</v>
      </c>
      <c r="AI93" s="437"/>
      <c r="AJ93" s="78"/>
      <c r="AK93" s="78"/>
      <c r="AL93" s="207"/>
      <c r="AM93" s="207"/>
      <c r="AN93" s="207"/>
      <c r="AO93" s="19"/>
      <c r="AP93" s="24"/>
      <c r="AQ93" s="239" t="s">
        <v>692</v>
      </c>
      <c r="AR93" s="437" t="s">
        <v>693</v>
      </c>
      <c r="AS93" s="437"/>
      <c r="AT93" s="29"/>
      <c r="AU93" s="256"/>
      <c r="AV93" s="254"/>
      <c r="AW93" s="254"/>
      <c r="AX93" s="254"/>
      <c r="AY93" s="255"/>
      <c r="AZ93" s="256"/>
      <c r="BA93" s="254"/>
      <c r="BB93" s="254"/>
      <c r="BC93" s="254"/>
      <c r="BD93" s="220"/>
      <c r="BE93" s="239" t="s">
        <v>692</v>
      </c>
      <c r="BF93" s="437" t="s">
        <v>693</v>
      </c>
      <c r="BG93" s="437"/>
      <c r="BH93" s="219"/>
      <c r="BI93" s="253"/>
      <c r="BJ93" s="253"/>
      <c r="BK93" s="253"/>
      <c r="BL93" s="253"/>
      <c r="BM93" s="253"/>
      <c r="BN93" s="253"/>
      <c r="BO93" s="253"/>
      <c r="BP93" s="253"/>
      <c r="BQ93" s="253"/>
      <c r="BR93" s="253"/>
      <c r="BS93" s="220"/>
      <c r="BT93" s="24"/>
    </row>
    <row r="94" spans="1:72" ht="21" customHeight="1">
      <c r="A94" s="84"/>
      <c r="B94" s="233" t="s">
        <v>856</v>
      </c>
      <c r="C94" s="325" t="s">
        <v>857</v>
      </c>
      <c r="D94" s="251"/>
      <c r="E94" s="255"/>
      <c r="F94" s="256"/>
      <c r="G94" s="253"/>
      <c r="H94" s="253"/>
      <c r="I94" s="254"/>
      <c r="J94" s="257"/>
      <c r="K94" s="255"/>
      <c r="L94" s="253"/>
      <c r="M94" s="253"/>
      <c r="N94" s="254"/>
      <c r="O94" s="220"/>
      <c r="P94" s="233" t="s">
        <v>856</v>
      </c>
      <c r="Q94" s="442" t="s">
        <v>857</v>
      </c>
      <c r="R94" s="442"/>
      <c r="S94" s="76"/>
      <c r="T94" s="219"/>
      <c r="U94" s="253"/>
      <c r="V94" s="253"/>
      <c r="W94" s="253"/>
      <c r="X94" s="253"/>
      <c r="Y94" s="253"/>
      <c r="Z94" s="253"/>
      <c r="AA94" s="253"/>
      <c r="AB94" s="253"/>
      <c r="AC94" s="253"/>
      <c r="AD94" s="253"/>
      <c r="AE94" s="220"/>
      <c r="AF94" s="84"/>
      <c r="AG94" s="233" t="s">
        <v>247</v>
      </c>
      <c r="AH94" s="442" t="s">
        <v>248</v>
      </c>
      <c r="AI94" s="442"/>
      <c r="AJ94" s="78"/>
      <c r="AK94" s="78"/>
      <c r="AL94" s="207"/>
      <c r="AM94" s="207"/>
      <c r="AN94" s="207"/>
      <c r="AO94" s="19"/>
      <c r="AP94" s="84"/>
      <c r="AQ94" s="233" t="s">
        <v>247</v>
      </c>
      <c r="AR94" s="442" t="s">
        <v>248</v>
      </c>
      <c r="AS94" s="442"/>
      <c r="AT94" s="29"/>
      <c r="AU94" s="256"/>
      <c r="AV94" s="254"/>
      <c r="AW94" s="254"/>
      <c r="AX94" s="254"/>
      <c r="AY94" s="255"/>
      <c r="AZ94" s="256"/>
      <c r="BA94" s="254"/>
      <c r="BB94" s="254"/>
      <c r="BC94" s="254"/>
      <c r="BD94" s="220"/>
      <c r="BE94" s="233" t="s">
        <v>247</v>
      </c>
      <c r="BF94" s="442" t="s">
        <v>248</v>
      </c>
      <c r="BG94" s="442"/>
      <c r="BH94" s="219"/>
      <c r="BI94" s="253"/>
      <c r="BJ94" s="253"/>
      <c r="BK94" s="253"/>
      <c r="BL94" s="253"/>
      <c r="BM94" s="253"/>
      <c r="BN94" s="253"/>
      <c r="BO94" s="253"/>
      <c r="BP94" s="253"/>
      <c r="BQ94" s="253"/>
      <c r="BR94" s="253"/>
      <c r="BS94" s="220"/>
      <c r="BT94" s="84"/>
    </row>
    <row r="95" spans="1:72" ht="24.75" customHeight="1">
      <c r="A95" s="84"/>
      <c r="B95" s="233" t="s">
        <v>858</v>
      </c>
      <c r="C95" s="359" t="s">
        <v>859</v>
      </c>
      <c r="D95" s="251"/>
      <c r="E95" s="255"/>
      <c r="F95" s="256"/>
      <c r="G95" s="253"/>
      <c r="H95" s="253"/>
      <c r="I95" s="254"/>
      <c r="J95" s="257"/>
      <c r="K95" s="255"/>
      <c r="L95" s="253"/>
      <c r="M95" s="253"/>
      <c r="N95" s="254"/>
      <c r="O95" s="220"/>
      <c r="P95" s="233" t="s">
        <v>858</v>
      </c>
      <c r="Q95" s="442" t="s">
        <v>859</v>
      </c>
      <c r="R95" s="442"/>
      <c r="S95" s="76"/>
      <c r="T95" s="219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20"/>
      <c r="AF95" s="84"/>
      <c r="AG95" s="233" t="s">
        <v>247</v>
      </c>
      <c r="AH95" s="442" t="s">
        <v>248</v>
      </c>
      <c r="AI95" s="442"/>
      <c r="AJ95" s="78"/>
      <c r="AK95" s="78"/>
      <c r="AL95" s="207"/>
      <c r="AM95" s="207"/>
      <c r="AN95" s="207"/>
      <c r="AO95" s="19"/>
      <c r="AP95" s="84"/>
      <c r="AQ95" s="233" t="s">
        <v>247</v>
      </c>
      <c r="AR95" s="442" t="s">
        <v>248</v>
      </c>
      <c r="AS95" s="442"/>
      <c r="AT95" s="29"/>
      <c r="AU95" s="256"/>
      <c r="AV95" s="254"/>
      <c r="AW95" s="254"/>
      <c r="AX95" s="254"/>
      <c r="AY95" s="255"/>
      <c r="AZ95" s="256"/>
      <c r="BA95" s="254"/>
      <c r="BB95" s="254"/>
      <c r="BC95" s="254"/>
      <c r="BD95" s="220"/>
      <c r="BE95" s="233" t="s">
        <v>247</v>
      </c>
      <c r="BF95" s="442" t="s">
        <v>248</v>
      </c>
      <c r="BG95" s="442"/>
      <c r="BH95" s="219"/>
      <c r="BI95" s="253"/>
      <c r="BJ95" s="253"/>
      <c r="BK95" s="253"/>
      <c r="BL95" s="253"/>
      <c r="BM95" s="253"/>
      <c r="BN95" s="253"/>
      <c r="BO95" s="253"/>
      <c r="BP95" s="253"/>
      <c r="BQ95" s="253"/>
      <c r="BR95" s="253"/>
      <c r="BS95" s="220"/>
      <c r="BT95" s="84"/>
    </row>
    <row r="96" spans="1:72" ht="15.75" customHeight="1">
      <c r="A96" s="84"/>
      <c r="B96" s="235" t="s">
        <v>860</v>
      </c>
      <c r="C96" s="323" t="s">
        <v>861</v>
      </c>
      <c r="D96" s="78" t="s">
        <v>53</v>
      </c>
      <c r="E96" s="190">
        <v>40</v>
      </c>
      <c r="F96" s="214">
        <f aca="true" t="shared" si="77" ref="F96:F110">$G$15</f>
        <v>0.0565</v>
      </c>
      <c r="G96" s="197">
        <f>ROUND(E96*F96,2)</f>
        <v>2.26</v>
      </c>
      <c r="H96" s="197">
        <f>ROUND(G96*($A$16+$A$17)/100,2)</f>
        <v>0</v>
      </c>
      <c r="I96" s="198">
        <f>SUM(G96:H96)</f>
        <v>2.26</v>
      </c>
      <c r="J96" s="257">
        <v>35</v>
      </c>
      <c r="K96" s="214">
        <f aca="true" t="shared" si="78" ref="K96:K110">$G$18</f>
        <v>0.0445</v>
      </c>
      <c r="L96" s="197">
        <f>ROUND(J96*K96,2)</f>
        <v>1.56</v>
      </c>
      <c r="M96" s="197">
        <f>ROUND(L96*($A$16+$A$17)/100,2)</f>
        <v>0</v>
      </c>
      <c r="N96" s="198">
        <f>SUM(L96:M96)</f>
        <v>1.56</v>
      </c>
      <c r="O96" s="199">
        <f>SUM(I96,N96)</f>
        <v>3.82</v>
      </c>
      <c r="P96" s="235" t="s">
        <v>860</v>
      </c>
      <c r="Q96" s="446" t="s">
        <v>861</v>
      </c>
      <c r="R96" s="446"/>
      <c r="S96" s="76"/>
      <c r="T96" s="22" t="s">
        <v>54</v>
      </c>
      <c r="U96" s="200">
        <f>O96</f>
        <v>3.82</v>
      </c>
      <c r="V96" s="200">
        <f>ROUND(U96*$S$19,2)</f>
        <v>0.4</v>
      </c>
      <c r="W96" s="197">
        <f>ROUND(SUM(U96:V96)*$AA$19,2)</f>
        <v>1.43</v>
      </c>
      <c r="X96" s="197">
        <f>ROUND(SUM(U96:V96)*$AA$21,2)</f>
        <v>0</v>
      </c>
      <c r="Y96" s="197">
        <f>ROUND(SUM(U96:V96)*$AA$20,2)</f>
        <v>0.06</v>
      </c>
      <c r="Z96" s="201">
        <f>ROUND(U96*$S$20,2)</f>
        <v>4.19</v>
      </c>
      <c r="AA96" s="202">
        <f>SUM(U96:Z96)</f>
        <v>9.899999999999999</v>
      </c>
      <c r="AB96" s="203">
        <f>ROUND(AA96*$S$21,2)</f>
        <v>2.97</v>
      </c>
      <c r="AC96" s="204">
        <f>SUM(AA96:AB96)</f>
        <v>12.87</v>
      </c>
      <c r="AD96" s="205">
        <f>ROUND(AC96*$AD$19/95,2)</f>
        <v>0.68</v>
      </c>
      <c r="AE96" s="206">
        <f>SUM(AC96:AD96)</f>
        <v>13.549999999999999</v>
      </c>
      <c r="AF96" s="84"/>
      <c r="AG96" s="235" t="s">
        <v>860</v>
      </c>
      <c r="AH96" s="446" t="s">
        <v>861</v>
      </c>
      <c r="AI96" s="446"/>
      <c r="AJ96" s="78" t="s">
        <v>54</v>
      </c>
      <c r="AK96" s="78"/>
      <c r="AL96" s="207">
        <f>AE96</f>
        <v>13.549999999999999</v>
      </c>
      <c r="AM96" s="207"/>
      <c r="AN96" s="207">
        <f>BS96</f>
        <v>7.170000000000001</v>
      </c>
      <c r="AO96" s="19"/>
      <c r="AP96" s="84"/>
      <c r="AQ96" s="235" t="s">
        <v>860</v>
      </c>
      <c r="AR96" s="446" t="s">
        <v>861</v>
      </c>
      <c r="AS96" s="446"/>
      <c r="AT96" s="29">
        <v>20</v>
      </c>
      <c r="AU96" s="214">
        <f aca="true" t="shared" si="79" ref="AU96:AU110">$AV$15</f>
        <v>0.0565</v>
      </c>
      <c r="AV96" s="269">
        <f>ROUND(AT96*AU96,2)</f>
        <v>1.13</v>
      </c>
      <c r="AW96" s="269">
        <f>ROUND(AV96*($A$16+$A$17)/100,2)</f>
        <v>0</v>
      </c>
      <c r="AX96" s="198">
        <f>SUM(AV96:AW96)</f>
        <v>1.13</v>
      </c>
      <c r="AY96" s="190">
        <v>20</v>
      </c>
      <c r="AZ96" s="214">
        <f aca="true" t="shared" si="80" ref="AZ96:AZ110">$AV$18</f>
        <v>0.0445</v>
      </c>
      <c r="BA96" s="269">
        <f>ROUND(AY96*AZ96,2)</f>
        <v>0.89</v>
      </c>
      <c r="BB96" s="269">
        <f>ROUND(BA96*($A$16+$A$17)/100,2)</f>
        <v>0</v>
      </c>
      <c r="BC96" s="198">
        <f>SUM(BA96:BB96)</f>
        <v>0.89</v>
      </c>
      <c r="BD96" s="199">
        <f>SUM(AX96,BC96)</f>
        <v>2.02</v>
      </c>
      <c r="BE96" s="235" t="s">
        <v>860</v>
      </c>
      <c r="BF96" s="446" t="s">
        <v>861</v>
      </c>
      <c r="BG96" s="446"/>
      <c r="BH96" s="22" t="s">
        <v>54</v>
      </c>
      <c r="BI96" s="200">
        <f>BD96</f>
        <v>2.02</v>
      </c>
      <c r="BJ96" s="200">
        <f>ROUND(BI96*$S$19,2)</f>
        <v>0.21</v>
      </c>
      <c r="BK96" s="197">
        <f>ROUND(SUM(BI96:BJ96)*$AA$19,2)</f>
        <v>0.76</v>
      </c>
      <c r="BL96" s="197">
        <f>ROUND(SUM(BI96:BJ96)*$AA$21,2)</f>
        <v>0</v>
      </c>
      <c r="BM96" s="197">
        <f>ROUND(SUM(BI96:BJ96)*$AA$20,2)</f>
        <v>0.03</v>
      </c>
      <c r="BN96" s="201">
        <f>ROUND(BI96*$S$20,2)</f>
        <v>2.22</v>
      </c>
      <c r="BO96" s="202">
        <f>SUM(BI96:BN96)</f>
        <v>5.24</v>
      </c>
      <c r="BP96" s="203">
        <f>ROUND(BO96*$S$21,2)</f>
        <v>1.57</v>
      </c>
      <c r="BQ96" s="204">
        <f>SUM(BO96:BP96)</f>
        <v>6.8100000000000005</v>
      </c>
      <c r="BR96" s="205">
        <f>ROUND(BQ96*$AD$19/95,2)</f>
        <v>0.36</v>
      </c>
      <c r="BS96" s="206">
        <f>SUM(BQ96:BR96)</f>
        <v>7.170000000000001</v>
      </c>
      <c r="BT96" s="84"/>
    </row>
    <row r="97" spans="1:72" ht="15.75" customHeight="1">
      <c r="A97" s="84"/>
      <c r="B97" s="282" t="s">
        <v>864</v>
      </c>
      <c r="C97" s="282" t="s">
        <v>865</v>
      </c>
      <c r="D97" s="78" t="s">
        <v>53</v>
      </c>
      <c r="E97" s="190">
        <v>30</v>
      </c>
      <c r="F97" s="214">
        <f t="shared" si="77"/>
        <v>0.0565</v>
      </c>
      <c r="G97" s="197">
        <f>ROUND(E97*F97,2)</f>
        <v>1.7</v>
      </c>
      <c r="H97" s="197">
        <f>ROUND(G97*($A$16+$A$17)/100,2)</f>
        <v>0</v>
      </c>
      <c r="I97" s="198">
        <f>SUM(G97:H97)</f>
        <v>1.7</v>
      </c>
      <c r="J97" s="257">
        <v>25</v>
      </c>
      <c r="K97" s="214">
        <f t="shared" si="78"/>
        <v>0.0445</v>
      </c>
      <c r="L97" s="197">
        <f>ROUND(J97*K97,2)</f>
        <v>1.11</v>
      </c>
      <c r="M97" s="197">
        <f>ROUND(L97*($A$16+$A$17)/100,2)</f>
        <v>0</v>
      </c>
      <c r="N97" s="198">
        <f>SUM(L97:M97)</f>
        <v>1.11</v>
      </c>
      <c r="O97" s="199">
        <f>SUM(I97,N97)</f>
        <v>2.81</v>
      </c>
      <c r="P97" s="282" t="s">
        <v>864</v>
      </c>
      <c r="Q97" s="446" t="s">
        <v>865</v>
      </c>
      <c r="R97" s="446"/>
      <c r="S97" s="76"/>
      <c r="T97" s="22" t="s">
        <v>54</v>
      </c>
      <c r="U97" s="200">
        <f>O97</f>
        <v>2.81</v>
      </c>
      <c r="V97" s="200">
        <f>ROUND(U97*$S$19,2)</f>
        <v>0.29</v>
      </c>
      <c r="W97" s="197">
        <f>ROUND(SUM(U97:V97)*$AA$19,2)</f>
        <v>1.05</v>
      </c>
      <c r="X97" s="197">
        <f>ROUND(SUM(U97:V97)*$AA$21,2)</f>
        <v>0</v>
      </c>
      <c r="Y97" s="197">
        <f>ROUND(SUM(U97:V97)*$AA$20,2)</f>
        <v>0.05</v>
      </c>
      <c r="Z97" s="201">
        <f>ROUND(U97*$S$20,2)</f>
        <v>3.08</v>
      </c>
      <c r="AA97" s="202">
        <f>SUM(U97:Z97)</f>
        <v>7.28</v>
      </c>
      <c r="AB97" s="203">
        <f>ROUND(AA97*$S$21,2)</f>
        <v>2.18</v>
      </c>
      <c r="AC97" s="204">
        <f>SUM(AA97:AB97)</f>
        <v>9.46</v>
      </c>
      <c r="AD97" s="205">
        <f>ROUND(AC97*$AD$19/95,2)</f>
        <v>0.5</v>
      </c>
      <c r="AE97" s="206">
        <f>SUM(AC97:AD97)</f>
        <v>9.96</v>
      </c>
      <c r="AF97" s="84"/>
      <c r="AG97" s="282" t="s">
        <v>864</v>
      </c>
      <c r="AH97" s="446" t="s">
        <v>865</v>
      </c>
      <c r="AI97" s="446"/>
      <c r="AJ97" s="78" t="s">
        <v>54</v>
      </c>
      <c r="AK97" s="78"/>
      <c r="AL97" s="207">
        <f>AE97</f>
        <v>9.96</v>
      </c>
      <c r="AM97" s="207"/>
      <c r="AN97" s="207">
        <f>BS97</f>
        <v>6.4</v>
      </c>
      <c r="AO97" s="19"/>
      <c r="AP97" s="84"/>
      <c r="AQ97" s="282" t="s">
        <v>864</v>
      </c>
      <c r="AR97" s="446" t="s">
        <v>865</v>
      </c>
      <c r="AS97" s="446"/>
      <c r="AT97" s="29">
        <v>20</v>
      </c>
      <c r="AU97" s="214">
        <f t="shared" si="79"/>
        <v>0.0565</v>
      </c>
      <c r="AV97" s="269">
        <f>ROUND(AT97*AU97,2)</f>
        <v>1.13</v>
      </c>
      <c r="AW97" s="269">
        <f>ROUND(AV97*($A$16+$A$17)/100,2)</f>
        <v>0</v>
      </c>
      <c r="AX97" s="198">
        <f>SUM(AV97:AW97)</f>
        <v>1.13</v>
      </c>
      <c r="AY97" s="190">
        <v>15</v>
      </c>
      <c r="AZ97" s="214">
        <f t="shared" si="80"/>
        <v>0.0445</v>
      </c>
      <c r="BA97" s="269">
        <f>ROUND(AY97*AZ97,2)</f>
        <v>0.67</v>
      </c>
      <c r="BB97" s="269">
        <f>ROUND(BA97*($A$16+$A$17)/100,2)</f>
        <v>0</v>
      </c>
      <c r="BC97" s="198">
        <f>SUM(BA97:BB97)</f>
        <v>0.67</v>
      </c>
      <c r="BD97" s="199">
        <f>SUM(AX97,BC97)</f>
        <v>1.7999999999999998</v>
      </c>
      <c r="BE97" s="282" t="s">
        <v>864</v>
      </c>
      <c r="BF97" s="446" t="s">
        <v>865</v>
      </c>
      <c r="BG97" s="446"/>
      <c r="BH97" s="22" t="s">
        <v>54</v>
      </c>
      <c r="BI97" s="200">
        <f>BD97</f>
        <v>1.7999999999999998</v>
      </c>
      <c r="BJ97" s="200">
        <f>ROUND(BI97*$S$19,2)</f>
        <v>0.19</v>
      </c>
      <c r="BK97" s="197">
        <f>ROUND(SUM(BI97:BJ97)*$AA$19,2)</f>
        <v>0.68</v>
      </c>
      <c r="BL97" s="197">
        <f>ROUND(SUM(BI97:BJ97)*$AA$21,2)</f>
        <v>0</v>
      </c>
      <c r="BM97" s="197">
        <f>ROUND(SUM(BI97:BJ97)*$AA$20,2)</f>
        <v>0.03</v>
      </c>
      <c r="BN97" s="201">
        <f>ROUND(BI97*$S$20,2)</f>
        <v>1.98</v>
      </c>
      <c r="BO97" s="202">
        <f>SUM(BI97:BN97)</f>
        <v>4.68</v>
      </c>
      <c r="BP97" s="203">
        <f>ROUND(BO97*$S$21,2)</f>
        <v>1.4</v>
      </c>
      <c r="BQ97" s="204">
        <f>SUM(BO97:BP97)</f>
        <v>6.08</v>
      </c>
      <c r="BR97" s="205">
        <f>ROUND(BQ97*$AD$19/95,2)</f>
        <v>0.32</v>
      </c>
      <c r="BS97" s="206">
        <f>SUM(BQ97:BR97)</f>
        <v>6.4</v>
      </c>
      <c r="BT97" s="84"/>
    </row>
    <row r="98" spans="1:72" ht="15.75" customHeight="1">
      <c r="A98" s="84"/>
      <c r="B98" s="282" t="s">
        <v>867</v>
      </c>
      <c r="C98" s="282" t="s">
        <v>868</v>
      </c>
      <c r="D98" s="78" t="s">
        <v>53</v>
      </c>
      <c r="E98" s="190">
        <v>5</v>
      </c>
      <c r="F98" s="214">
        <f t="shared" si="77"/>
        <v>0.0565</v>
      </c>
      <c r="G98" s="197">
        <f>ROUND(E98*F98,2)</f>
        <v>0.28</v>
      </c>
      <c r="H98" s="197">
        <f>ROUND(G98*($A$16+$A$17)/100,2)</f>
        <v>0</v>
      </c>
      <c r="I98" s="198">
        <f>SUM(G98:H98)</f>
        <v>0.28</v>
      </c>
      <c r="J98" s="257">
        <v>40</v>
      </c>
      <c r="K98" s="214">
        <f t="shared" si="78"/>
        <v>0.0445</v>
      </c>
      <c r="L98" s="197">
        <f>ROUND(J98*K98,2)</f>
        <v>1.78</v>
      </c>
      <c r="M98" s="197">
        <f>ROUND(L98*($A$16+$A$17)/100,2)</f>
        <v>0</v>
      </c>
      <c r="N98" s="198">
        <f>SUM(L98:M98)</f>
        <v>1.78</v>
      </c>
      <c r="O98" s="199">
        <f>SUM(I98,N98)</f>
        <v>2.06</v>
      </c>
      <c r="P98" s="282" t="s">
        <v>867</v>
      </c>
      <c r="Q98" s="446" t="s">
        <v>868</v>
      </c>
      <c r="R98" s="446"/>
      <c r="S98" s="76"/>
      <c r="T98" s="22" t="s">
        <v>54</v>
      </c>
      <c r="U98" s="200">
        <f>O98</f>
        <v>2.06</v>
      </c>
      <c r="V98" s="200">
        <f>ROUND(U98*$S$19,2)</f>
        <v>0.21</v>
      </c>
      <c r="W98" s="197">
        <f>ROUND(SUM(U98:V98)*$AA$19,2)</f>
        <v>0.77</v>
      </c>
      <c r="X98" s="197">
        <f>ROUND(SUM(U98:V98)*$AA$21,2)</f>
        <v>0</v>
      </c>
      <c r="Y98" s="197">
        <f>ROUND(SUM(U98:V98)*$AA$20,2)</f>
        <v>0.03</v>
      </c>
      <c r="Z98" s="201">
        <f>ROUND(U98*$S$20,2)</f>
        <v>2.26</v>
      </c>
      <c r="AA98" s="202">
        <f>SUM(U98:Z98)</f>
        <v>5.33</v>
      </c>
      <c r="AB98" s="203">
        <f>ROUND(AA98*$S$21,2)</f>
        <v>1.6</v>
      </c>
      <c r="AC98" s="204">
        <f>SUM(AA98:AB98)</f>
        <v>6.93</v>
      </c>
      <c r="AD98" s="205">
        <f>ROUND(AC98*$AD$19/95,2)</f>
        <v>0.36</v>
      </c>
      <c r="AE98" s="206">
        <f>SUM(AC98:AD98)</f>
        <v>7.29</v>
      </c>
      <c r="AF98" s="84"/>
      <c r="AG98" s="282" t="s">
        <v>867</v>
      </c>
      <c r="AH98" s="446" t="s">
        <v>868</v>
      </c>
      <c r="AI98" s="446"/>
      <c r="AJ98" s="78" t="s">
        <v>54</v>
      </c>
      <c r="AK98" s="78"/>
      <c r="AL98" s="207">
        <f>AE98</f>
        <v>7.29</v>
      </c>
      <c r="AM98" s="207"/>
      <c r="AN98" s="207">
        <f>BS98</f>
        <v>4.15</v>
      </c>
      <c r="AO98" s="19"/>
      <c r="AP98" s="84"/>
      <c r="AQ98" s="282" t="s">
        <v>867</v>
      </c>
      <c r="AR98" s="446" t="s">
        <v>868</v>
      </c>
      <c r="AS98" s="446"/>
      <c r="AT98" s="29">
        <v>5</v>
      </c>
      <c r="AU98" s="214">
        <f t="shared" si="79"/>
        <v>0.0565</v>
      </c>
      <c r="AV98" s="269">
        <f>ROUND(AT98*AU98,2)</f>
        <v>0.28</v>
      </c>
      <c r="AW98" s="269">
        <f>ROUND(AV98*($A$16+$A$17)/100,2)</f>
        <v>0</v>
      </c>
      <c r="AX98" s="198">
        <f>SUM(AV98:AW98)</f>
        <v>0.28</v>
      </c>
      <c r="AY98" s="190">
        <v>20</v>
      </c>
      <c r="AZ98" s="214">
        <f t="shared" si="80"/>
        <v>0.0445</v>
      </c>
      <c r="BA98" s="269">
        <f>ROUND(AY98*AZ98,2)</f>
        <v>0.89</v>
      </c>
      <c r="BB98" s="269">
        <f>ROUND(BA98*($A$16+$A$17)/100,2)</f>
        <v>0</v>
      </c>
      <c r="BC98" s="198">
        <f>SUM(BA98:BB98)</f>
        <v>0.89</v>
      </c>
      <c r="BD98" s="199">
        <f>SUM(AX98,BC98)</f>
        <v>1.17</v>
      </c>
      <c r="BE98" s="282" t="s">
        <v>867</v>
      </c>
      <c r="BF98" s="446" t="s">
        <v>868</v>
      </c>
      <c r="BG98" s="446"/>
      <c r="BH98" s="22" t="s">
        <v>54</v>
      </c>
      <c r="BI98" s="200">
        <f>BD98</f>
        <v>1.17</v>
      </c>
      <c r="BJ98" s="200">
        <f>ROUND(BI98*$S$19,2)</f>
        <v>0.12</v>
      </c>
      <c r="BK98" s="197">
        <f>ROUND(SUM(BI98:BJ98)*$AA$19,2)</f>
        <v>0.44</v>
      </c>
      <c r="BL98" s="197">
        <f>ROUND(SUM(BI98:BJ98)*$AA$21,2)</f>
        <v>0</v>
      </c>
      <c r="BM98" s="197">
        <f>ROUND(SUM(BI98:BJ98)*$AA$20,2)</f>
        <v>0.02</v>
      </c>
      <c r="BN98" s="201">
        <f>ROUND(BI98*$S$20,2)</f>
        <v>1.28</v>
      </c>
      <c r="BO98" s="202">
        <f>SUM(BI98:BN98)</f>
        <v>3.0300000000000002</v>
      </c>
      <c r="BP98" s="203">
        <f>ROUND(BO98*$S$21,2)</f>
        <v>0.91</v>
      </c>
      <c r="BQ98" s="204">
        <f>SUM(BO98:BP98)</f>
        <v>3.9400000000000004</v>
      </c>
      <c r="BR98" s="205">
        <f>ROUND(BQ98*$AD$19/95,2)</f>
        <v>0.21</v>
      </c>
      <c r="BS98" s="206">
        <f>SUM(BQ98:BR98)</f>
        <v>4.15</v>
      </c>
      <c r="BT98" s="84"/>
    </row>
    <row r="99" spans="1:72" ht="15.75" customHeight="1">
      <c r="A99" s="84"/>
      <c r="B99" s="282" t="s">
        <v>870</v>
      </c>
      <c r="C99" s="282" t="s">
        <v>871</v>
      </c>
      <c r="D99" s="78" t="s">
        <v>53</v>
      </c>
      <c r="E99" s="190">
        <v>10</v>
      </c>
      <c r="F99" s="214">
        <f t="shared" si="77"/>
        <v>0.0565</v>
      </c>
      <c r="G99" s="197">
        <f>ROUND(E99*F99,2)</f>
        <v>0.57</v>
      </c>
      <c r="H99" s="197">
        <f>ROUND(G99*($A$16+$A$17)/100,2)</f>
        <v>0</v>
      </c>
      <c r="I99" s="198">
        <f>SUM(G99:H99)</f>
        <v>0.57</v>
      </c>
      <c r="J99" s="257">
        <v>15</v>
      </c>
      <c r="K99" s="214">
        <f t="shared" si="78"/>
        <v>0.0445</v>
      </c>
      <c r="L99" s="197">
        <f>ROUND(J99*K99,2)</f>
        <v>0.67</v>
      </c>
      <c r="M99" s="197">
        <f>ROUND(L99*($A$16+$A$17)/100,2)</f>
        <v>0</v>
      </c>
      <c r="N99" s="198">
        <f>SUM(L99:M99)</f>
        <v>0.67</v>
      </c>
      <c r="O99" s="199">
        <f>SUM(I99,N99)</f>
        <v>1.24</v>
      </c>
      <c r="P99" s="282" t="s">
        <v>870</v>
      </c>
      <c r="Q99" s="446" t="s">
        <v>871</v>
      </c>
      <c r="R99" s="446"/>
      <c r="S99" s="76"/>
      <c r="T99" s="22" t="s">
        <v>54</v>
      </c>
      <c r="U99" s="200">
        <f>O99</f>
        <v>1.24</v>
      </c>
      <c r="V99" s="200">
        <f>ROUND(U99*$S$19,2)</f>
        <v>0.13</v>
      </c>
      <c r="W99" s="197">
        <f>ROUND(SUM(U99:V99)*$AA$19,2)</f>
        <v>0.47</v>
      </c>
      <c r="X99" s="197">
        <f>ROUND(SUM(U99:V99)*$AA$21,2)</f>
        <v>0</v>
      </c>
      <c r="Y99" s="197">
        <f>ROUND(SUM(U99:V99)*$AA$20,2)</f>
        <v>0.02</v>
      </c>
      <c r="Z99" s="201">
        <f>ROUND(U99*$S$20,2)</f>
        <v>1.36</v>
      </c>
      <c r="AA99" s="202">
        <f>SUM(U99:Z99)</f>
        <v>3.22</v>
      </c>
      <c r="AB99" s="203">
        <f>ROUND(AA99*$S$21,2)</f>
        <v>0.97</v>
      </c>
      <c r="AC99" s="204">
        <f>SUM(AA99:AB99)</f>
        <v>4.19</v>
      </c>
      <c r="AD99" s="205">
        <f>ROUND(AC99*$AD$19/95,2)</f>
        <v>0.22</v>
      </c>
      <c r="AE99" s="206">
        <f>SUM(AC99:AD99)</f>
        <v>4.41</v>
      </c>
      <c r="AF99" s="84"/>
      <c r="AG99" s="282" t="s">
        <v>870</v>
      </c>
      <c r="AH99" s="446" t="s">
        <v>871</v>
      </c>
      <c r="AI99" s="446"/>
      <c r="AJ99" s="78" t="s">
        <v>54</v>
      </c>
      <c r="AK99" s="78"/>
      <c r="AL99" s="207">
        <f>AE99</f>
        <v>4.41</v>
      </c>
      <c r="AM99" s="207"/>
      <c r="AN99" s="207">
        <f>BS99</f>
        <v>1.78</v>
      </c>
      <c r="AO99" s="19"/>
      <c r="AP99" s="84"/>
      <c r="AQ99" s="282" t="s">
        <v>870</v>
      </c>
      <c r="AR99" s="446" t="s">
        <v>871</v>
      </c>
      <c r="AS99" s="446"/>
      <c r="AT99" s="29">
        <v>5</v>
      </c>
      <c r="AU99" s="214">
        <f t="shared" si="79"/>
        <v>0.0565</v>
      </c>
      <c r="AV99" s="269">
        <f>ROUND(AT99*AU99,2)</f>
        <v>0.28</v>
      </c>
      <c r="AW99" s="269">
        <f>ROUND(AV99*($A$16+$A$17)/100,2)</f>
        <v>0</v>
      </c>
      <c r="AX99" s="198">
        <f>SUM(AV99:AW99)</f>
        <v>0.28</v>
      </c>
      <c r="AY99" s="190">
        <v>5</v>
      </c>
      <c r="AZ99" s="214">
        <f t="shared" si="80"/>
        <v>0.0445</v>
      </c>
      <c r="BA99" s="269">
        <f>ROUND(AY99*AZ99,2)</f>
        <v>0.22</v>
      </c>
      <c r="BB99" s="269">
        <f>ROUND(BA99*($A$16+$A$17)/100,2)</f>
        <v>0</v>
      </c>
      <c r="BC99" s="198">
        <f>SUM(BA99:BB99)</f>
        <v>0.22</v>
      </c>
      <c r="BD99" s="199">
        <f>SUM(AX99,BC99)</f>
        <v>0.5</v>
      </c>
      <c r="BE99" s="282" t="s">
        <v>870</v>
      </c>
      <c r="BF99" s="446" t="s">
        <v>871</v>
      </c>
      <c r="BG99" s="446"/>
      <c r="BH99" s="22" t="s">
        <v>54</v>
      </c>
      <c r="BI99" s="200">
        <f>BD99</f>
        <v>0.5</v>
      </c>
      <c r="BJ99" s="200">
        <f>ROUND(BI99*$S$19,2)</f>
        <v>0.05</v>
      </c>
      <c r="BK99" s="197">
        <f>ROUND(SUM(BI99:BJ99)*$AA$19,2)</f>
        <v>0.19</v>
      </c>
      <c r="BL99" s="197">
        <f>ROUND(SUM(BI99:BJ99)*$AA$21,2)</f>
        <v>0</v>
      </c>
      <c r="BM99" s="197">
        <f>ROUND(SUM(BI99:BJ99)*$AA$20,2)</f>
        <v>0.01</v>
      </c>
      <c r="BN99" s="201">
        <f>ROUND(BI99*$S$20,2)</f>
        <v>0.55</v>
      </c>
      <c r="BO99" s="202">
        <f>SUM(BI99:BN99)</f>
        <v>1.3</v>
      </c>
      <c r="BP99" s="203">
        <f>ROUND(BO99*$S$21,2)</f>
        <v>0.39</v>
      </c>
      <c r="BQ99" s="204">
        <f>SUM(BO99:BP99)</f>
        <v>1.69</v>
      </c>
      <c r="BR99" s="205">
        <f>ROUND(BQ99*$AD$19/95,2)</f>
        <v>0.09</v>
      </c>
      <c r="BS99" s="206">
        <f>SUM(BQ99:BR99)</f>
        <v>1.78</v>
      </c>
      <c r="BT99" s="84"/>
    </row>
    <row r="100" spans="1:72" ht="15.75" customHeight="1">
      <c r="A100" s="84"/>
      <c r="B100" s="282"/>
      <c r="C100" s="282"/>
      <c r="D100" s="78"/>
      <c r="E100" s="190"/>
      <c r="F100" s="214"/>
      <c r="G100" s="197"/>
      <c r="H100" s="197"/>
      <c r="I100" s="198"/>
      <c r="J100" s="257"/>
      <c r="K100" s="214"/>
      <c r="L100" s="197"/>
      <c r="M100" s="197"/>
      <c r="N100" s="198"/>
      <c r="O100" s="199"/>
      <c r="P100" s="282"/>
      <c r="Q100" s="324"/>
      <c r="R100" s="324"/>
      <c r="S100" s="76"/>
      <c r="T100" s="22"/>
      <c r="U100" s="200"/>
      <c r="V100" s="200"/>
      <c r="W100" s="197"/>
      <c r="X100" s="197"/>
      <c r="Y100" s="197"/>
      <c r="Z100" s="201"/>
      <c r="AA100" s="202"/>
      <c r="AB100" s="203"/>
      <c r="AC100" s="204"/>
      <c r="AD100" s="205"/>
      <c r="AE100" s="206"/>
      <c r="AF100" s="84"/>
      <c r="AG100" s="282"/>
      <c r="AH100" s="324"/>
      <c r="AI100" s="324"/>
      <c r="AJ100" s="78"/>
      <c r="AK100" s="78"/>
      <c r="AL100" s="207"/>
      <c r="AM100" s="207"/>
      <c r="AN100" s="207"/>
      <c r="AO100" s="19"/>
      <c r="AP100" s="84"/>
      <c r="AQ100" s="282"/>
      <c r="AR100" s="324"/>
      <c r="AS100" s="324"/>
      <c r="AT100" s="29"/>
      <c r="AU100" s="214"/>
      <c r="AV100" s="269"/>
      <c r="AW100" s="269"/>
      <c r="AX100" s="198"/>
      <c r="AY100" s="190"/>
      <c r="AZ100" s="214"/>
      <c r="BA100" s="269"/>
      <c r="BB100" s="269"/>
      <c r="BC100" s="198"/>
      <c r="BD100" s="199"/>
      <c r="BE100" s="282"/>
      <c r="BF100" s="324"/>
      <c r="BG100" s="324"/>
      <c r="BH100" s="22"/>
      <c r="BI100" s="200"/>
      <c r="BJ100" s="200"/>
      <c r="BK100" s="197"/>
      <c r="BL100" s="197"/>
      <c r="BM100" s="197"/>
      <c r="BN100" s="201"/>
      <c r="BO100" s="202"/>
      <c r="BP100" s="203"/>
      <c r="BQ100" s="204"/>
      <c r="BR100" s="205"/>
      <c r="BS100" s="206"/>
      <c r="BT100" s="84"/>
    </row>
    <row r="101" spans="1:72" ht="14.25" customHeight="1">
      <c r="A101" s="84"/>
      <c r="B101" s="233" t="s">
        <v>879</v>
      </c>
      <c r="C101" s="362" t="s">
        <v>880</v>
      </c>
      <c r="D101" s="251"/>
      <c r="E101" s="255"/>
      <c r="F101" s="256"/>
      <c r="G101" s="253"/>
      <c r="H101" s="253"/>
      <c r="I101" s="254"/>
      <c r="J101" s="257"/>
      <c r="K101" s="255"/>
      <c r="L101" s="253"/>
      <c r="M101" s="253"/>
      <c r="N101" s="254"/>
      <c r="O101" s="220"/>
      <c r="P101" s="233" t="s">
        <v>879</v>
      </c>
      <c r="Q101" s="442" t="s">
        <v>880</v>
      </c>
      <c r="R101" s="442"/>
      <c r="S101" s="76"/>
      <c r="T101" s="219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20"/>
      <c r="AF101" s="84"/>
      <c r="AG101" s="233" t="s">
        <v>879</v>
      </c>
      <c r="AH101" s="442" t="s">
        <v>880</v>
      </c>
      <c r="AI101" s="442"/>
      <c r="AJ101" s="78"/>
      <c r="AK101" s="78"/>
      <c r="AL101" s="207"/>
      <c r="AM101" s="207"/>
      <c r="AN101" s="207"/>
      <c r="AO101" s="19"/>
      <c r="AP101" s="84"/>
      <c r="AQ101" s="233" t="s">
        <v>879</v>
      </c>
      <c r="AR101" s="442" t="s">
        <v>880</v>
      </c>
      <c r="AS101" s="442"/>
      <c r="AT101" s="29"/>
      <c r="AU101" s="256"/>
      <c r="AV101" s="254"/>
      <c r="AW101" s="254"/>
      <c r="AX101" s="254"/>
      <c r="AY101" s="255"/>
      <c r="AZ101" s="256"/>
      <c r="BA101" s="254"/>
      <c r="BB101" s="254"/>
      <c r="BC101" s="254"/>
      <c r="BD101" s="220"/>
      <c r="BE101" s="233" t="s">
        <v>879</v>
      </c>
      <c r="BF101" s="442" t="s">
        <v>880</v>
      </c>
      <c r="BG101" s="442"/>
      <c r="BH101" s="219"/>
      <c r="BI101" s="253"/>
      <c r="BJ101" s="253"/>
      <c r="BK101" s="253"/>
      <c r="BL101" s="253"/>
      <c r="BM101" s="253"/>
      <c r="BN101" s="253"/>
      <c r="BO101" s="253"/>
      <c r="BP101" s="253"/>
      <c r="BQ101" s="253"/>
      <c r="BR101" s="253"/>
      <c r="BS101" s="220"/>
      <c r="BT101" s="84"/>
    </row>
    <row r="102" spans="1:72" ht="129.75" customHeight="1">
      <c r="A102" s="84"/>
      <c r="B102" s="274" t="s">
        <v>873</v>
      </c>
      <c r="C102" s="360" t="s">
        <v>874</v>
      </c>
      <c r="D102" s="78" t="s">
        <v>53</v>
      </c>
      <c r="E102" s="190">
        <v>20</v>
      </c>
      <c r="F102" s="214">
        <f t="shared" si="77"/>
        <v>0.0565</v>
      </c>
      <c r="G102" s="197">
        <f aca="true" t="shared" si="81" ref="G102:G110">ROUND(E102*F102,2)</f>
        <v>1.13</v>
      </c>
      <c r="H102" s="197">
        <f aca="true" t="shared" si="82" ref="H102:H110">ROUND(G102*($A$16+$A$17)/100,2)</f>
        <v>0</v>
      </c>
      <c r="I102" s="198">
        <f aca="true" t="shared" si="83" ref="I102:I110">SUM(G102:H102)</f>
        <v>1.13</v>
      </c>
      <c r="J102" s="257">
        <v>5</v>
      </c>
      <c r="K102" s="214">
        <f t="shared" si="78"/>
        <v>0.0445</v>
      </c>
      <c r="L102" s="197">
        <f aca="true" t="shared" si="84" ref="L102:L110">ROUND(J102*K102,2)</f>
        <v>0.22</v>
      </c>
      <c r="M102" s="197">
        <f aca="true" t="shared" si="85" ref="M102:M110">ROUND(L102*($A$16+$A$17)/100,2)</f>
        <v>0</v>
      </c>
      <c r="N102" s="198">
        <f aca="true" t="shared" si="86" ref="N102:N110">SUM(L102:M102)</f>
        <v>0.22</v>
      </c>
      <c r="O102" s="199">
        <f aca="true" t="shared" si="87" ref="O102:O110">SUM(I102,N102)</f>
        <v>1.3499999999999999</v>
      </c>
      <c r="P102" s="274" t="s">
        <v>873</v>
      </c>
      <c r="Q102" s="446" t="s">
        <v>874</v>
      </c>
      <c r="R102" s="446"/>
      <c r="S102" s="76"/>
      <c r="T102" s="22" t="s">
        <v>54</v>
      </c>
      <c r="U102" s="200">
        <f aca="true" t="shared" si="88" ref="U102:U110">O102</f>
        <v>1.3499999999999999</v>
      </c>
      <c r="V102" s="200">
        <f aca="true" t="shared" si="89" ref="V102:V110">ROUND(U102*$S$19,2)</f>
        <v>0.14</v>
      </c>
      <c r="W102" s="197">
        <f aca="true" t="shared" si="90" ref="W102:W110">ROUND(SUM(U102:V102)*$AA$19,2)</f>
        <v>0.51</v>
      </c>
      <c r="X102" s="197">
        <f aca="true" t="shared" si="91" ref="X102:X110">ROUND(SUM(U102:V102)*$AA$21,2)</f>
        <v>0</v>
      </c>
      <c r="Y102" s="197">
        <f aca="true" t="shared" si="92" ref="Y102:Y110">ROUND(SUM(U102:V102)*$AA$20,2)</f>
        <v>0.02</v>
      </c>
      <c r="Z102" s="201">
        <f aca="true" t="shared" si="93" ref="Z102:Z110">ROUND(U102*$S$20,2)</f>
        <v>1.48</v>
      </c>
      <c r="AA102" s="202">
        <f aca="true" t="shared" si="94" ref="AA102:AA110">SUM(U102:Z102)</f>
        <v>3.4999999999999996</v>
      </c>
      <c r="AB102" s="203">
        <f aca="true" t="shared" si="95" ref="AB102:AB110">ROUND(AA102*$S$21,2)</f>
        <v>1.05</v>
      </c>
      <c r="AC102" s="204">
        <f aca="true" t="shared" si="96" ref="AC102:AC110">SUM(AA102:AB102)</f>
        <v>4.55</v>
      </c>
      <c r="AD102" s="205">
        <f aca="true" t="shared" si="97" ref="AD102:AD110">ROUND(AC102*$AD$19/95,2)</f>
        <v>0.24</v>
      </c>
      <c r="AE102" s="206">
        <f aca="true" t="shared" si="98" ref="AE102:AE110">SUM(AC102:AD102)</f>
        <v>4.79</v>
      </c>
      <c r="AF102" s="84"/>
      <c r="AG102" s="274" t="s">
        <v>873</v>
      </c>
      <c r="AH102" s="446" t="s">
        <v>874</v>
      </c>
      <c r="AI102" s="446"/>
      <c r="AJ102" s="78" t="s">
        <v>54</v>
      </c>
      <c r="AK102" s="78"/>
      <c r="AL102" s="207">
        <f aca="true" t="shared" si="99" ref="AL102:AL110">AE102</f>
        <v>4.79</v>
      </c>
      <c r="AM102" s="207"/>
      <c r="AN102" s="207">
        <f aca="true" t="shared" si="100" ref="AN102:AN110">BS102</f>
        <v>2.81</v>
      </c>
      <c r="AO102" s="19"/>
      <c r="AP102" s="84"/>
      <c r="AQ102" s="274" t="s">
        <v>873</v>
      </c>
      <c r="AR102" s="446" t="s">
        <v>874</v>
      </c>
      <c r="AS102" s="446"/>
      <c r="AT102" s="29">
        <v>10</v>
      </c>
      <c r="AU102" s="214">
        <f t="shared" si="79"/>
        <v>0.0565</v>
      </c>
      <c r="AV102" s="269">
        <f aca="true" t="shared" si="101" ref="AV102:AV110">ROUND(AT102*AU102,2)</f>
        <v>0.57</v>
      </c>
      <c r="AW102" s="269">
        <f aca="true" t="shared" si="102" ref="AW102:AW110">ROUND(AV102*($A$16+$A$17)/100,2)</f>
        <v>0</v>
      </c>
      <c r="AX102" s="198">
        <f aca="true" t="shared" si="103" ref="AX102:AX110">SUM(AV102:AW102)</f>
        <v>0.57</v>
      </c>
      <c r="AY102" s="190">
        <v>5</v>
      </c>
      <c r="AZ102" s="214">
        <f t="shared" si="80"/>
        <v>0.0445</v>
      </c>
      <c r="BA102" s="269">
        <f aca="true" t="shared" si="104" ref="BA102:BA110">ROUND(AY102*AZ102,2)</f>
        <v>0.22</v>
      </c>
      <c r="BB102" s="269">
        <f aca="true" t="shared" si="105" ref="BB102:BB110">ROUND(BA102*($A$16+$A$17)/100,2)</f>
        <v>0</v>
      </c>
      <c r="BC102" s="198">
        <f aca="true" t="shared" si="106" ref="BC102:BC110">SUM(BA102:BB102)</f>
        <v>0.22</v>
      </c>
      <c r="BD102" s="199">
        <f aca="true" t="shared" si="107" ref="BD102:BD110">SUM(AX102,BC102)</f>
        <v>0.7899999999999999</v>
      </c>
      <c r="BE102" s="274" t="s">
        <v>873</v>
      </c>
      <c r="BF102" s="446" t="s">
        <v>874</v>
      </c>
      <c r="BG102" s="446"/>
      <c r="BH102" s="22" t="s">
        <v>54</v>
      </c>
      <c r="BI102" s="200">
        <f aca="true" t="shared" si="108" ref="BI102:BI110">BD102</f>
        <v>0.7899999999999999</v>
      </c>
      <c r="BJ102" s="200">
        <f aca="true" t="shared" si="109" ref="BJ102:BJ110">ROUND(BI102*$S$19,2)</f>
        <v>0.08</v>
      </c>
      <c r="BK102" s="197">
        <f aca="true" t="shared" si="110" ref="BK102:BK110">ROUND(SUM(BI102:BJ102)*$AA$19,2)</f>
        <v>0.3</v>
      </c>
      <c r="BL102" s="197">
        <f aca="true" t="shared" si="111" ref="BL102:BL110">ROUND(SUM(BI102:BJ102)*$AA$21,2)</f>
        <v>0</v>
      </c>
      <c r="BM102" s="197">
        <f aca="true" t="shared" si="112" ref="BM102:BM110">ROUND(SUM(BI102:BJ102)*$AA$20,2)</f>
        <v>0.01</v>
      </c>
      <c r="BN102" s="201">
        <f aca="true" t="shared" si="113" ref="BN102:BN110">ROUND(BI102*$S$20,2)</f>
        <v>0.87</v>
      </c>
      <c r="BO102" s="202">
        <f aca="true" t="shared" si="114" ref="BO102:BO110">SUM(BI102:BN102)</f>
        <v>2.05</v>
      </c>
      <c r="BP102" s="203">
        <f aca="true" t="shared" si="115" ref="BP102:BP110">ROUND(BO102*$S$21,2)</f>
        <v>0.62</v>
      </c>
      <c r="BQ102" s="204">
        <f aca="true" t="shared" si="116" ref="BQ102:BQ110">SUM(BO102:BP102)</f>
        <v>2.67</v>
      </c>
      <c r="BR102" s="205">
        <f aca="true" t="shared" si="117" ref="BR102:BR110">ROUND(BQ102*$AD$19/95,2)</f>
        <v>0.14</v>
      </c>
      <c r="BS102" s="206">
        <f aca="true" t="shared" si="118" ref="BS102:BS110">SUM(BQ102:BR102)</f>
        <v>2.81</v>
      </c>
      <c r="BT102" s="84"/>
    </row>
    <row r="103" spans="1:72" ht="15.75" customHeight="1">
      <c r="A103" s="84"/>
      <c r="B103" s="282" t="s">
        <v>875</v>
      </c>
      <c r="C103" s="282" t="s">
        <v>876</v>
      </c>
      <c r="D103" s="78" t="s">
        <v>53</v>
      </c>
      <c r="E103" s="190">
        <v>15</v>
      </c>
      <c r="F103" s="214">
        <f t="shared" si="77"/>
        <v>0.0565</v>
      </c>
      <c r="G103" s="197">
        <f t="shared" si="81"/>
        <v>0.85</v>
      </c>
      <c r="H103" s="197">
        <f t="shared" si="82"/>
        <v>0</v>
      </c>
      <c r="I103" s="198">
        <f t="shared" si="83"/>
        <v>0.85</v>
      </c>
      <c r="J103" s="257">
        <v>10</v>
      </c>
      <c r="K103" s="214">
        <f t="shared" si="78"/>
        <v>0.0445</v>
      </c>
      <c r="L103" s="197">
        <f t="shared" si="84"/>
        <v>0.45</v>
      </c>
      <c r="M103" s="197">
        <f t="shared" si="85"/>
        <v>0</v>
      </c>
      <c r="N103" s="198">
        <f t="shared" si="86"/>
        <v>0.45</v>
      </c>
      <c r="O103" s="199">
        <f t="shared" si="87"/>
        <v>1.3</v>
      </c>
      <c r="P103" s="282" t="s">
        <v>875</v>
      </c>
      <c r="Q103" s="446" t="s">
        <v>876</v>
      </c>
      <c r="R103" s="446"/>
      <c r="S103" s="76"/>
      <c r="T103" s="22" t="s">
        <v>54</v>
      </c>
      <c r="U103" s="200">
        <f t="shared" si="88"/>
        <v>1.3</v>
      </c>
      <c r="V103" s="200">
        <f t="shared" si="89"/>
        <v>0.13</v>
      </c>
      <c r="W103" s="197">
        <f t="shared" si="90"/>
        <v>0.49</v>
      </c>
      <c r="X103" s="197">
        <f t="shared" si="91"/>
        <v>0</v>
      </c>
      <c r="Y103" s="197">
        <f t="shared" si="92"/>
        <v>0.02</v>
      </c>
      <c r="Z103" s="201">
        <f t="shared" si="93"/>
        <v>1.43</v>
      </c>
      <c r="AA103" s="202">
        <f t="shared" si="94"/>
        <v>3.37</v>
      </c>
      <c r="AB103" s="203">
        <f t="shared" si="95"/>
        <v>1.01</v>
      </c>
      <c r="AC103" s="204">
        <f t="shared" si="96"/>
        <v>4.38</v>
      </c>
      <c r="AD103" s="205">
        <f t="shared" si="97"/>
        <v>0.23</v>
      </c>
      <c r="AE103" s="206">
        <f t="shared" si="98"/>
        <v>4.61</v>
      </c>
      <c r="AF103" s="84"/>
      <c r="AG103" s="282" t="s">
        <v>875</v>
      </c>
      <c r="AH103" s="446" t="s">
        <v>876</v>
      </c>
      <c r="AI103" s="446"/>
      <c r="AJ103" s="78" t="s">
        <v>54</v>
      </c>
      <c r="AK103" s="78"/>
      <c r="AL103" s="207">
        <f t="shared" si="99"/>
        <v>4.61</v>
      </c>
      <c r="AM103" s="207"/>
      <c r="AN103" s="207">
        <f t="shared" si="100"/>
        <v>1.4000000000000001</v>
      </c>
      <c r="AO103" s="19"/>
      <c r="AP103" s="84"/>
      <c r="AQ103" s="282" t="s">
        <v>875</v>
      </c>
      <c r="AR103" s="446" t="s">
        <v>876</v>
      </c>
      <c r="AS103" s="446"/>
      <c r="AT103" s="29">
        <v>3</v>
      </c>
      <c r="AU103" s="214">
        <f t="shared" si="79"/>
        <v>0.0565</v>
      </c>
      <c r="AV103" s="269">
        <f t="shared" si="101"/>
        <v>0.17</v>
      </c>
      <c r="AW103" s="269">
        <f t="shared" si="102"/>
        <v>0</v>
      </c>
      <c r="AX103" s="198">
        <f t="shared" si="103"/>
        <v>0.17</v>
      </c>
      <c r="AY103" s="190">
        <v>5</v>
      </c>
      <c r="AZ103" s="214">
        <f t="shared" si="80"/>
        <v>0.0445</v>
      </c>
      <c r="BA103" s="269">
        <f t="shared" si="104"/>
        <v>0.22</v>
      </c>
      <c r="BB103" s="269">
        <f t="shared" si="105"/>
        <v>0</v>
      </c>
      <c r="BC103" s="198">
        <f t="shared" si="106"/>
        <v>0.22</v>
      </c>
      <c r="BD103" s="199">
        <f t="shared" si="107"/>
        <v>0.39</v>
      </c>
      <c r="BE103" s="282" t="s">
        <v>875</v>
      </c>
      <c r="BF103" s="446" t="s">
        <v>876</v>
      </c>
      <c r="BG103" s="446"/>
      <c r="BH103" s="22" t="s">
        <v>54</v>
      </c>
      <c r="BI103" s="200">
        <f t="shared" si="108"/>
        <v>0.39</v>
      </c>
      <c r="BJ103" s="200">
        <f t="shared" si="109"/>
        <v>0.04</v>
      </c>
      <c r="BK103" s="197">
        <f t="shared" si="110"/>
        <v>0.15</v>
      </c>
      <c r="BL103" s="197">
        <f t="shared" si="111"/>
        <v>0</v>
      </c>
      <c r="BM103" s="197">
        <f t="shared" si="112"/>
        <v>0.01</v>
      </c>
      <c r="BN103" s="201">
        <f t="shared" si="113"/>
        <v>0.43</v>
      </c>
      <c r="BO103" s="202">
        <f t="shared" si="114"/>
        <v>1.02</v>
      </c>
      <c r="BP103" s="203">
        <f t="shared" si="115"/>
        <v>0.31</v>
      </c>
      <c r="BQ103" s="204">
        <f t="shared" si="116"/>
        <v>1.33</v>
      </c>
      <c r="BR103" s="205">
        <f t="shared" si="117"/>
        <v>0.07</v>
      </c>
      <c r="BS103" s="206">
        <f t="shared" si="118"/>
        <v>1.4000000000000001</v>
      </c>
      <c r="BT103" s="84"/>
    </row>
    <row r="104" spans="1:72" ht="15.75" customHeight="1">
      <c r="A104" s="84"/>
      <c r="B104" s="282" t="s">
        <v>877</v>
      </c>
      <c r="C104" s="282" t="s">
        <v>878</v>
      </c>
      <c r="D104" s="78" t="s">
        <v>53</v>
      </c>
      <c r="E104" s="190">
        <v>10</v>
      </c>
      <c r="F104" s="214">
        <f t="shared" si="77"/>
        <v>0.0565</v>
      </c>
      <c r="G104" s="197">
        <f t="shared" si="81"/>
        <v>0.57</v>
      </c>
      <c r="H104" s="197">
        <f t="shared" si="82"/>
        <v>0</v>
      </c>
      <c r="I104" s="198">
        <f t="shared" si="83"/>
        <v>0.57</v>
      </c>
      <c r="J104" s="257"/>
      <c r="K104" s="214">
        <f t="shared" si="78"/>
        <v>0.0445</v>
      </c>
      <c r="L104" s="197">
        <f t="shared" si="84"/>
        <v>0</v>
      </c>
      <c r="M104" s="197">
        <f t="shared" si="85"/>
        <v>0</v>
      </c>
      <c r="N104" s="198">
        <f t="shared" si="86"/>
        <v>0</v>
      </c>
      <c r="O104" s="199">
        <f t="shared" si="87"/>
        <v>0.57</v>
      </c>
      <c r="P104" s="282" t="s">
        <v>877</v>
      </c>
      <c r="Q104" s="446" t="s">
        <v>878</v>
      </c>
      <c r="R104" s="446"/>
      <c r="S104" s="76"/>
      <c r="T104" s="22" t="s">
        <v>54</v>
      </c>
      <c r="U104" s="200">
        <f t="shared" si="88"/>
        <v>0.57</v>
      </c>
      <c r="V104" s="200">
        <f t="shared" si="89"/>
        <v>0.06</v>
      </c>
      <c r="W104" s="197">
        <f t="shared" si="90"/>
        <v>0.21</v>
      </c>
      <c r="X104" s="197">
        <f t="shared" si="91"/>
        <v>0</v>
      </c>
      <c r="Y104" s="197">
        <f t="shared" si="92"/>
        <v>0.01</v>
      </c>
      <c r="Z104" s="201">
        <f t="shared" si="93"/>
        <v>0.63</v>
      </c>
      <c r="AA104" s="202">
        <f t="shared" si="94"/>
        <v>1.48</v>
      </c>
      <c r="AB104" s="203">
        <f t="shared" si="95"/>
        <v>0.44</v>
      </c>
      <c r="AC104" s="204">
        <f t="shared" si="96"/>
        <v>1.92</v>
      </c>
      <c r="AD104" s="205">
        <f t="shared" si="97"/>
        <v>0.1</v>
      </c>
      <c r="AE104" s="206">
        <f t="shared" si="98"/>
        <v>2.02</v>
      </c>
      <c r="AF104" s="84"/>
      <c r="AG104" s="282" t="s">
        <v>877</v>
      </c>
      <c r="AH104" s="446" t="s">
        <v>878</v>
      </c>
      <c r="AI104" s="446"/>
      <c r="AJ104" s="78" t="s">
        <v>54</v>
      </c>
      <c r="AK104" s="78"/>
      <c r="AL104" s="207">
        <f t="shared" si="99"/>
        <v>2.02</v>
      </c>
      <c r="AM104" s="207"/>
      <c r="AN104" s="207">
        <f t="shared" si="100"/>
        <v>1</v>
      </c>
      <c r="AO104" s="19"/>
      <c r="AP104" s="84"/>
      <c r="AQ104" s="282" t="s">
        <v>877</v>
      </c>
      <c r="AR104" s="446" t="s">
        <v>878</v>
      </c>
      <c r="AS104" s="446"/>
      <c r="AT104" s="29">
        <v>5</v>
      </c>
      <c r="AU104" s="214">
        <f t="shared" si="79"/>
        <v>0.0565</v>
      </c>
      <c r="AV104" s="269">
        <f t="shared" si="101"/>
        <v>0.28</v>
      </c>
      <c r="AW104" s="269">
        <f t="shared" si="102"/>
        <v>0</v>
      </c>
      <c r="AX104" s="198">
        <f t="shared" si="103"/>
        <v>0.28</v>
      </c>
      <c r="AY104" s="190"/>
      <c r="AZ104" s="214">
        <f t="shared" si="80"/>
        <v>0.0445</v>
      </c>
      <c r="BA104" s="269">
        <f t="shared" si="104"/>
        <v>0</v>
      </c>
      <c r="BB104" s="269">
        <f t="shared" si="105"/>
        <v>0</v>
      </c>
      <c r="BC104" s="198">
        <f t="shared" si="106"/>
        <v>0</v>
      </c>
      <c r="BD104" s="199">
        <f t="shared" si="107"/>
        <v>0.28</v>
      </c>
      <c r="BE104" s="282" t="s">
        <v>877</v>
      </c>
      <c r="BF104" s="446" t="s">
        <v>878</v>
      </c>
      <c r="BG104" s="446"/>
      <c r="BH104" s="22" t="s">
        <v>54</v>
      </c>
      <c r="BI104" s="200">
        <f t="shared" si="108"/>
        <v>0.28</v>
      </c>
      <c r="BJ104" s="200">
        <f t="shared" si="109"/>
        <v>0.03</v>
      </c>
      <c r="BK104" s="197">
        <f t="shared" si="110"/>
        <v>0.11</v>
      </c>
      <c r="BL104" s="197">
        <f t="shared" si="111"/>
        <v>0</v>
      </c>
      <c r="BM104" s="197">
        <f t="shared" si="112"/>
        <v>0</v>
      </c>
      <c r="BN104" s="201">
        <f t="shared" si="113"/>
        <v>0.31</v>
      </c>
      <c r="BO104" s="202">
        <f t="shared" si="114"/>
        <v>0.73</v>
      </c>
      <c r="BP104" s="203">
        <f t="shared" si="115"/>
        <v>0.22</v>
      </c>
      <c r="BQ104" s="204">
        <f t="shared" si="116"/>
        <v>0.95</v>
      </c>
      <c r="BR104" s="205">
        <f t="shared" si="117"/>
        <v>0.05</v>
      </c>
      <c r="BS104" s="206">
        <f t="shared" si="118"/>
        <v>1</v>
      </c>
      <c r="BT104" s="84"/>
    </row>
    <row r="105" spans="1:72" ht="27" customHeight="1">
      <c r="A105" s="84"/>
      <c r="B105" s="282" t="s">
        <v>882</v>
      </c>
      <c r="C105" s="363" t="s">
        <v>881</v>
      </c>
      <c r="D105" s="78" t="s">
        <v>53</v>
      </c>
      <c r="E105" s="190">
        <v>40</v>
      </c>
      <c r="F105" s="214">
        <f t="shared" si="77"/>
        <v>0.0565</v>
      </c>
      <c r="G105" s="197">
        <f t="shared" si="81"/>
        <v>2.26</v>
      </c>
      <c r="H105" s="197">
        <f t="shared" si="82"/>
        <v>0</v>
      </c>
      <c r="I105" s="198">
        <f t="shared" si="83"/>
        <v>2.26</v>
      </c>
      <c r="J105" s="257">
        <v>20</v>
      </c>
      <c r="K105" s="214">
        <f t="shared" si="78"/>
        <v>0.0445</v>
      </c>
      <c r="L105" s="197">
        <f t="shared" si="84"/>
        <v>0.89</v>
      </c>
      <c r="M105" s="197">
        <f t="shared" si="85"/>
        <v>0</v>
      </c>
      <c r="N105" s="198">
        <f t="shared" si="86"/>
        <v>0.89</v>
      </c>
      <c r="O105" s="199">
        <f t="shared" si="87"/>
        <v>3.15</v>
      </c>
      <c r="P105" s="282" t="s">
        <v>882</v>
      </c>
      <c r="Q105" s="446" t="s">
        <v>881</v>
      </c>
      <c r="R105" s="446"/>
      <c r="S105" s="76"/>
      <c r="T105" s="22" t="s">
        <v>54</v>
      </c>
      <c r="U105" s="200">
        <f t="shared" si="88"/>
        <v>3.15</v>
      </c>
      <c r="V105" s="200">
        <f t="shared" si="89"/>
        <v>0.33</v>
      </c>
      <c r="W105" s="197">
        <f t="shared" si="90"/>
        <v>1.18</v>
      </c>
      <c r="X105" s="197">
        <f t="shared" si="91"/>
        <v>0</v>
      </c>
      <c r="Y105" s="197">
        <f t="shared" si="92"/>
        <v>0.05</v>
      </c>
      <c r="Z105" s="201">
        <f t="shared" si="93"/>
        <v>3.46</v>
      </c>
      <c r="AA105" s="202">
        <f t="shared" si="94"/>
        <v>8.17</v>
      </c>
      <c r="AB105" s="203">
        <f t="shared" si="95"/>
        <v>2.45</v>
      </c>
      <c r="AC105" s="204">
        <f t="shared" si="96"/>
        <v>10.620000000000001</v>
      </c>
      <c r="AD105" s="205">
        <f t="shared" si="97"/>
        <v>0.56</v>
      </c>
      <c r="AE105" s="206">
        <f t="shared" si="98"/>
        <v>11.180000000000001</v>
      </c>
      <c r="AF105" s="84"/>
      <c r="AG105" s="282" t="s">
        <v>882</v>
      </c>
      <c r="AH105" s="446" t="s">
        <v>881</v>
      </c>
      <c r="AI105" s="446"/>
      <c r="AJ105" s="78" t="s">
        <v>54</v>
      </c>
      <c r="AK105" s="78"/>
      <c r="AL105" s="207">
        <f t="shared" si="99"/>
        <v>11.180000000000001</v>
      </c>
      <c r="AM105" s="207"/>
      <c r="AN105" s="207">
        <f t="shared" si="100"/>
        <v>5.6000000000000005</v>
      </c>
      <c r="AO105" s="19"/>
      <c r="AP105" s="84"/>
      <c r="AQ105" s="282" t="s">
        <v>882</v>
      </c>
      <c r="AR105" s="446" t="s">
        <v>881</v>
      </c>
      <c r="AS105" s="446"/>
      <c r="AT105" s="29">
        <v>20</v>
      </c>
      <c r="AU105" s="214">
        <f t="shared" si="79"/>
        <v>0.0565</v>
      </c>
      <c r="AV105" s="269">
        <f t="shared" si="101"/>
        <v>1.13</v>
      </c>
      <c r="AW105" s="269">
        <f t="shared" si="102"/>
        <v>0</v>
      </c>
      <c r="AX105" s="198">
        <f t="shared" si="103"/>
        <v>1.13</v>
      </c>
      <c r="AY105" s="190">
        <v>10</v>
      </c>
      <c r="AZ105" s="214">
        <f t="shared" si="80"/>
        <v>0.0445</v>
      </c>
      <c r="BA105" s="269">
        <f t="shared" si="104"/>
        <v>0.45</v>
      </c>
      <c r="BB105" s="269">
        <f t="shared" si="105"/>
        <v>0</v>
      </c>
      <c r="BC105" s="198">
        <f t="shared" si="106"/>
        <v>0.45</v>
      </c>
      <c r="BD105" s="199">
        <f t="shared" si="107"/>
        <v>1.5799999999999998</v>
      </c>
      <c r="BE105" s="282" t="s">
        <v>882</v>
      </c>
      <c r="BF105" s="446" t="s">
        <v>881</v>
      </c>
      <c r="BG105" s="446"/>
      <c r="BH105" s="22" t="s">
        <v>54</v>
      </c>
      <c r="BI105" s="200">
        <f t="shared" si="108"/>
        <v>1.5799999999999998</v>
      </c>
      <c r="BJ105" s="200">
        <f t="shared" si="109"/>
        <v>0.16</v>
      </c>
      <c r="BK105" s="197">
        <f t="shared" si="110"/>
        <v>0.59</v>
      </c>
      <c r="BL105" s="197">
        <f t="shared" si="111"/>
        <v>0</v>
      </c>
      <c r="BM105" s="197">
        <f t="shared" si="112"/>
        <v>0.03</v>
      </c>
      <c r="BN105" s="201">
        <f t="shared" si="113"/>
        <v>1.73</v>
      </c>
      <c r="BO105" s="202">
        <f t="shared" si="114"/>
        <v>4.09</v>
      </c>
      <c r="BP105" s="203">
        <f t="shared" si="115"/>
        <v>1.23</v>
      </c>
      <c r="BQ105" s="204">
        <f t="shared" si="116"/>
        <v>5.32</v>
      </c>
      <c r="BR105" s="205">
        <f t="shared" si="117"/>
        <v>0.28</v>
      </c>
      <c r="BS105" s="206">
        <f t="shared" si="118"/>
        <v>5.6000000000000005</v>
      </c>
      <c r="BT105" s="84"/>
    </row>
    <row r="106" spans="1:72" ht="15" customHeight="1">
      <c r="A106" s="84"/>
      <c r="B106" s="282" t="s">
        <v>884</v>
      </c>
      <c r="C106" s="282" t="s">
        <v>885</v>
      </c>
      <c r="D106" s="78" t="s">
        <v>53</v>
      </c>
      <c r="E106" s="190">
        <v>40</v>
      </c>
      <c r="F106" s="214">
        <f t="shared" si="77"/>
        <v>0.0565</v>
      </c>
      <c r="G106" s="197">
        <f t="shared" si="81"/>
        <v>2.26</v>
      </c>
      <c r="H106" s="197">
        <f t="shared" si="82"/>
        <v>0</v>
      </c>
      <c r="I106" s="198">
        <f t="shared" si="83"/>
        <v>2.26</v>
      </c>
      <c r="J106" s="257">
        <v>20</v>
      </c>
      <c r="K106" s="214">
        <f t="shared" si="78"/>
        <v>0.0445</v>
      </c>
      <c r="L106" s="197">
        <f t="shared" si="84"/>
        <v>0.89</v>
      </c>
      <c r="M106" s="197">
        <f t="shared" si="85"/>
        <v>0</v>
      </c>
      <c r="N106" s="198">
        <f t="shared" si="86"/>
        <v>0.89</v>
      </c>
      <c r="O106" s="199">
        <f t="shared" si="87"/>
        <v>3.15</v>
      </c>
      <c r="P106" s="282" t="s">
        <v>884</v>
      </c>
      <c r="Q106" s="446" t="s">
        <v>885</v>
      </c>
      <c r="R106" s="446"/>
      <c r="S106" s="76"/>
      <c r="T106" s="22" t="s">
        <v>54</v>
      </c>
      <c r="U106" s="200">
        <f t="shared" si="88"/>
        <v>3.15</v>
      </c>
      <c r="V106" s="200">
        <f t="shared" si="89"/>
        <v>0.33</v>
      </c>
      <c r="W106" s="197">
        <f t="shared" si="90"/>
        <v>1.18</v>
      </c>
      <c r="X106" s="197">
        <f t="shared" si="91"/>
        <v>0</v>
      </c>
      <c r="Y106" s="197">
        <f t="shared" si="92"/>
        <v>0.05</v>
      </c>
      <c r="Z106" s="201">
        <f t="shared" si="93"/>
        <v>3.46</v>
      </c>
      <c r="AA106" s="202">
        <f t="shared" si="94"/>
        <v>8.17</v>
      </c>
      <c r="AB106" s="203">
        <f t="shared" si="95"/>
        <v>2.45</v>
      </c>
      <c r="AC106" s="204">
        <f t="shared" si="96"/>
        <v>10.620000000000001</v>
      </c>
      <c r="AD106" s="205">
        <f t="shared" si="97"/>
        <v>0.56</v>
      </c>
      <c r="AE106" s="206">
        <f t="shared" si="98"/>
        <v>11.180000000000001</v>
      </c>
      <c r="AF106" s="84"/>
      <c r="AG106" s="282" t="s">
        <v>884</v>
      </c>
      <c r="AH106" s="446" t="s">
        <v>885</v>
      </c>
      <c r="AI106" s="446"/>
      <c r="AJ106" s="78" t="s">
        <v>54</v>
      </c>
      <c r="AK106" s="78"/>
      <c r="AL106" s="207">
        <f t="shared" si="99"/>
        <v>11.180000000000001</v>
      </c>
      <c r="AM106" s="207"/>
      <c r="AN106" s="207">
        <f t="shared" si="100"/>
        <v>5.6000000000000005</v>
      </c>
      <c r="AO106" s="19"/>
      <c r="AP106" s="84"/>
      <c r="AQ106" s="282" t="s">
        <v>884</v>
      </c>
      <c r="AR106" s="446" t="s">
        <v>885</v>
      </c>
      <c r="AS106" s="446"/>
      <c r="AT106" s="29">
        <v>20</v>
      </c>
      <c r="AU106" s="214">
        <f t="shared" si="79"/>
        <v>0.0565</v>
      </c>
      <c r="AV106" s="269">
        <f t="shared" si="101"/>
        <v>1.13</v>
      </c>
      <c r="AW106" s="269">
        <f t="shared" si="102"/>
        <v>0</v>
      </c>
      <c r="AX106" s="198">
        <f t="shared" si="103"/>
        <v>1.13</v>
      </c>
      <c r="AY106" s="190">
        <v>10</v>
      </c>
      <c r="AZ106" s="214">
        <f t="shared" si="80"/>
        <v>0.0445</v>
      </c>
      <c r="BA106" s="269">
        <f t="shared" si="104"/>
        <v>0.45</v>
      </c>
      <c r="BB106" s="269">
        <f t="shared" si="105"/>
        <v>0</v>
      </c>
      <c r="BC106" s="198">
        <f t="shared" si="106"/>
        <v>0.45</v>
      </c>
      <c r="BD106" s="199">
        <f t="shared" si="107"/>
        <v>1.5799999999999998</v>
      </c>
      <c r="BE106" s="282" t="s">
        <v>884</v>
      </c>
      <c r="BF106" s="446" t="s">
        <v>885</v>
      </c>
      <c r="BG106" s="446"/>
      <c r="BH106" s="22" t="s">
        <v>54</v>
      </c>
      <c r="BI106" s="200">
        <f t="shared" si="108"/>
        <v>1.5799999999999998</v>
      </c>
      <c r="BJ106" s="200">
        <f t="shared" si="109"/>
        <v>0.16</v>
      </c>
      <c r="BK106" s="197">
        <f t="shared" si="110"/>
        <v>0.59</v>
      </c>
      <c r="BL106" s="197">
        <f t="shared" si="111"/>
        <v>0</v>
      </c>
      <c r="BM106" s="197">
        <f t="shared" si="112"/>
        <v>0.03</v>
      </c>
      <c r="BN106" s="201">
        <f t="shared" si="113"/>
        <v>1.73</v>
      </c>
      <c r="BO106" s="202">
        <f t="shared" si="114"/>
        <v>4.09</v>
      </c>
      <c r="BP106" s="203">
        <f t="shared" si="115"/>
        <v>1.23</v>
      </c>
      <c r="BQ106" s="204">
        <f t="shared" si="116"/>
        <v>5.32</v>
      </c>
      <c r="BR106" s="205">
        <f t="shared" si="117"/>
        <v>0.28</v>
      </c>
      <c r="BS106" s="206">
        <f t="shared" si="118"/>
        <v>5.6000000000000005</v>
      </c>
      <c r="BT106" s="84"/>
    </row>
    <row r="107" spans="1:72" ht="15" customHeight="1">
      <c r="A107" s="84"/>
      <c r="B107" s="282" t="s">
        <v>887</v>
      </c>
      <c r="C107" s="282" t="s">
        <v>888</v>
      </c>
      <c r="D107" s="78" t="s">
        <v>53</v>
      </c>
      <c r="E107" s="190">
        <v>35</v>
      </c>
      <c r="F107" s="214">
        <f t="shared" si="77"/>
        <v>0.0565</v>
      </c>
      <c r="G107" s="197">
        <f t="shared" si="81"/>
        <v>1.98</v>
      </c>
      <c r="H107" s="197">
        <f t="shared" si="82"/>
        <v>0</v>
      </c>
      <c r="I107" s="198">
        <f t="shared" si="83"/>
        <v>1.98</v>
      </c>
      <c r="J107" s="257">
        <v>20</v>
      </c>
      <c r="K107" s="214">
        <f t="shared" si="78"/>
        <v>0.0445</v>
      </c>
      <c r="L107" s="197">
        <f t="shared" si="84"/>
        <v>0.89</v>
      </c>
      <c r="M107" s="197">
        <f t="shared" si="85"/>
        <v>0</v>
      </c>
      <c r="N107" s="198">
        <f t="shared" si="86"/>
        <v>0.89</v>
      </c>
      <c r="O107" s="199">
        <f t="shared" si="87"/>
        <v>2.87</v>
      </c>
      <c r="P107" s="282" t="s">
        <v>887</v>
      </c>
      <c r="Q107" s="446" t="s">
        <v>888</v>
      </c>
      <c r="R107" s="446"/>
      <c r="S107" s="76"/>
      <c r="T107" s="22" t="s">
        <v>54</v>
      </c>
      <c r="U107" s="200">
        <f t="shared" si="88"/>
        <v>2.87</v>
      </c>
      <c r="V107" s="200">
        <f t="shared" si="89"/>
        <v>0.3</v>
      </c>
      <c r="W107" s="197">
        <f t="shared" si="90"/>
        <v>1.08</v>
      </c>
      <c r="X107" s="197">
        <f t="shared" si="91"/>
        <v>0</v>
      </c>
      <c r="Y107" s="197">
        <f t="shared" si="92"/>
        <v>0.05</v>
      </c>
      <c r="Z107" s="201">
        <f t="shared" si="93"/>
        <v>3.15</v>
      </c>
      <c r="AA107" s="202">
        <f t="shared" si="94"/>
        <v>7.449999999999999</v>
      </c>
      <c r="AB107" s="203">
        <f t="shared" si="95"/>
        <v>2.24</v>
      </c>
      <c r="AC107" s="204">
        <f t="shared" si="96"/>
        <v>9.69</v>
      </c>
      <c r="AD107" s="205">
        <f t="shared" si="97"/>
        <v>0.51</v>
      </c>
      <c r="AE107" s="206">
        <f t="shared" si="98"/>
        <v>10.2</v>
      </c>
      <c r="AF107" s="84"/>
      <c r="AG107" s="282" t="s">
        <v>887</v>
      </c>
      <c r="AH107" s="446" t="s">
        <v>888</v>
      </c>
      <c r="AI107" s="446"/>
      <c r="AJ107" s="78" t="s">
        <v>54</v>
      </c>
      <c r="AK107" s="78"/>
      <c r="AL107" s="207">
        <f t="shared" si="99"/>
        <v>10.2</v>
      </c>
      <c r="AM107" s="207"/>
      <c r="AN107" s="207">
        <f t="shared" si="100"/>
        <v>5.6000000000000005</v>
      </c>
      <c r="AO107" s="19"/>
      <c r="AP107" s="84"/>
      <c r="AQ107" s="282" t="s">
        <v>887</v>
      </c>
      <c r="AR107" s="446" t="s">
        <v>888</v>
      </c>
      <c r="AS107" s="446"/>
      <c r="AT107" s="29">
        <v>20</v>
      </c>
      <c r="AU107" s="214">
        <f t="shared" si="79"/>
        <v>0.0565</v>
      </c>
      <c r="AV107" s="269">
        <f t="shared" si="101"/>
        <v>1.13</v>
      </c>
      <c r="AW107" s="269">
        <f t="shared" si="102"/>
        <v>0</v>
      </c>
      <c r="AX107" s="198">
        <f t="shared" si="103"/>
        <v>1.13</v>
      </c>
      <c r="AY107" s="190">
        <v>10</v>
      </c>
      <c r="AZ107" s="214">
        <f t="shared" si="80"/>
        <v>0.0445</v>
      </c>
      <c r="BA107" s="269">
        <f t="shared" si="104"/>
        <v>0.45</v>
      </c>
      <c r="BB107" s="269">
        <f t="shared" si="105"/>
        <v>0</v>
      </c>
      <c r="BC107" s="198">
        <f t="shared" si="106"/>
        <v>0.45</v>
      </c>
      <c r="BD107" s="199">
        <f t="shared" si="107"/>
        <v>1.5799999999999998</v>
      </c>
      <c r="BE107" s="282" t="s">
        <v>887</v>
      </c>
      <c r="BF107" s="446" t="s">
        <v>888</v>
      </c>
      <c r="BG107" s="446"/>
      <c r="BH107" s="22" t="s">
        <v>54</v>
      </c>
      <c r="BI107" s="200">
        <f t="shared" si="108"/>
        <v>1.5799999999999998</v>
      </c>
      <c r="BJ107" s="200">
        <f t="shared" si="109"/>
        <v>0.16</v>
      </c>
      <c r="BK107" s="197">
        <f t="shared" si="110"/>
        <v>0.59</v>
      </c>
      <c r="BL107" s="197">
        <f t="shared" si="111"/>
        <v>0</v>
      </c>
      <c r="BM107" s="197">
        <f t="shared" si="112"/>
        <v>0.03</v>
      </c>
      <c r="BN107" s="201">
        <f t="shared" si="113"/>
        <v>1.73</v>
      </c>
      <c r="BO107" s="202">
        <f t="shared" si="114"/>
        <v>4.09</v>
      </c>
      <c r="BP107" s="203">
        <f t="shared" si="115"/>
        <v>1.23</v>
      </c>
      <c r="BQ107" s="204">
        <f t="shared" si="116"/>
        <v>5.32</v>
      </c>
      <c r="BR107" s="205">
        <f t="shared" si="117"/>
        <v>0.28</v>
      </c>
      <c r="BS107" s="206">
        <f t="shared" si="118"/>
        <v>5.6000000000000005</v>
      </c>
      <c r="BT107" s="84"/>
    </row>
    <row r="108" spans="1:72" ht="15" customHeight="1">
      <c r="A108" s="84"/>
      <c r="B108" s="282" t="s">
        <v>890</v>
      </c>
      <c r="C108" s="282" t="s">
        <v>891</v>
      </c>
      <c r="D108" s="78" t="s">
        <v>53</v>
      </c>
      <c r="E108" s="190">
        <v>40</v>
      </c>
      <c r="F108" s="214">
        <f t="shared" si="77"/>
        <v>0.0565</v>
      </c>
      <c r="G108" s="197">
        <f t="shared" si="81"/>
        <v>2.26</v>
      </c>
      <c r="H108" s="197">
        <f t="shared" si="82"/>
        <v>0</v>
      </c>
      <c r="I108" s="198">
        <f t="shared" si="83"/>
        <v>2.26</v>
      </c>
      <c r="J108" s="257">
        <v>10</v>
      </c>
      <c r="K108" s="214">
        <f t="shared" si="78"/>
        <v>0.0445</v>
      </c>
      <c r="L108" s="197">
        <f t="shared" si="84"/>
        <v>0.45</v>
      </c>
      <c r="M108" s="197">
        <f t="shared" si="85"/>
        <v>0</v>
      </c>
      <c r="N108" s="198">
        <f t="shared" si="86"/>
        <v>0.45</v>
      </c>
      <c r="O108" s="199">
        <f t="shared" si="87"/>
        <v>2.71</v>
      </c>
      <c r="P108" s="282" t="s">
        <v>890</v>
      </c>
      <c r="Q108" s="446" t="s">
        <v>891</v>
      </c>
      <c r="R108" s="446"/>
      <c r="S108" s="76"/>
      <c r="T108" s="22" t="s">
        <v>54</v>
      </c>
      <c r="U108" s="200">
        <f t="shared" si="88"/>
        <v>2.71</v>
      </c>
      <c r="V108" s="200">
        <f t="shared" si="89"/>
        <v>0.28</v>
      </c>
      <c r="W108" s="197">
        <f t="shared" si="90"/>
        <v>1.02</v>
      </c>
      <c r="X108" s="197">
        <f t="shared" si="91"/>
        <v>0</v>
      </c>
      <c r="Y108" s="197">
        <f t="shared" si="92"/>
        <v>0.04</v>
      </c>
      <c r="Z108" s="201">
        <f t="shared" si="93"/>
        <v>2.97</v>
      </c>
      <c r="AA108" s="202">
        <f t="shared" si="94"/>
        <v>7.02</v>
      </c>
      <c r="AB108" s="203">
        <f t="shared" si="95"/>
        <v>2.11</v>
      </c>
      <c r="AC108" s="204">
        <f t="shared" si="96"/>
        <v>9.129999999999999</v>
      </c>
      <c r="AD108" s="205">
        <f t="shared" si="97"/>
        <v>0.48</v>
      </c>
      <c r="AE108" s="206">
        <f t="shared" si="98"/>
        <v>9.61</v>
      </c>
      <c r="AF108" s="84"/>
      <c r="AG108" s="282" t="s">
        <v>890</v>
      </c>
      <c r="AH108" s="446" t="s">
        <v>891</v>
      </c>
      <c r="AI108" s="446"/>
      <c r="AJ108" s="78" t="s">
        <v>54</v>
      </c>
      <c r="AK108" s="78"/>
      <c r="AL108" s="207">
        <f t="shared" si="99"/>
        <v>9.61</v>
      </c>
      <c r="AM108" s="207"/>
      <c r="AN108" s="207">
        <f t="shared" si="100"/>
        <v>3.79</v>
      </c>
      <c r="AO108" s="19"/>
      <c r="AP108" s="84"/>
      <c r="AQ108" s="282" t="s">
        <v>890</v>
      </c>
      <c r="AR108" s="446" t="s">
        <v>891</v>
      </c>
      <c r="AS108" s="446"/>
      <c r="AT108" s="29">
        <v>15</v>
      </c>
      <c r="AU108" s="214">
        <f t="shared" si="79"/>
        <v>0.0565</v>
      </c>
      <c r="AV108" s="269">
        <f t="shared" si="101"/>
        <v>0.85</v>
      </c>
      <c r="AW108" s="269">
        <f t="shared" si="102"/>
        <v>0</v>
      </c>
      <c r="AX108" s="198">
        <f t="shared" si="103"/>
        <v>0.85</v>
      </c>
      <c r="AY108" s="190">
        <v>5</v>
      </c>
      <c r="AZ108" s="214">
        <f t="shared" si="80"/>
        <v>0.0445</v>
      </c>
      <c r="BA108" s="269">
        <f t="shared" si="104"/>
        <v>0.22</v>
      </c>
      <c r="BB108" s="269">
        <f t="shared" si="105"/>
        <v>0</v>
      </c>
      <c r="BC108" s="198">
        <f t="shared" si="106"/>
        <v>0.22</v>
      </c>
      <c r="BD108" s="199">
        <f t="shared" si="107"/>
        <v>1.07</v>
      </c>
      <c r="BE108" s="282" t="s">
        <v>890</v>
      </c>
      <c r="BF108" s="446" t="s">
        <v>891</v>
      </c>
      <c r="BG108" s="446"/>
      <c r="BH108" s="22" t="s">
        <v>54</v>
      </c>
      <c r="BI108" s="200">
        <f t="shared" si="108"/>
        <v>1.07</v>
      </c>
      <c r="BJ108" s="200">
        <f t="shared" si="109"/>
        <v>0.11</v>
      </c>
      <c r="BK108" s="197">
        <f t="shared" si="110"/>
        <v>0.4</v>
      </c>
      <c r="BL108" s="197">
        <f t="shared" si="111"/>
        <v>0</v>
      </c>
      <c r="BM108" s="197">
        <f t="shared" si="112"/>
        <v>0.02</v>
      </c>
      <c r="BN108" s="201">
        <f t="shared" si="113"/>
        <v>1.17</v>
      </c>
      <c r="BO108" s="202">
        <f t="shared" si="114"/>
        <v>2.77</v>
      </c>
      <c r="BP108" s="203">
        <f t="shared" si="115"/>
        <v>0.83</v>
      </c>
      <c r="BQ108" s="204">
        <f t="shared" si="116"/>
        <v>3.6</v>
      </c>
      <c r="BR108" s="205">
        <f t="shared" si="117"/>
        <v>0.19</v>
      </c>
      <c r="BS108" s="206">
        <f t="shared" si="118"/>
        <v>3.79</v>
      </c>
      <c r="BT108" s="84"/>
    </row>
    <row r="109" spans="1:72" ht="15" customHeight="1">
      <c r="A109" s="84"/>
      <c r="B109" s="282" t="s">
        <v>893</v>
      </c>
      <c r="C109" s="282" t="s">
        <v>894</v>
      </c>
      <c r="D109" s="78" t="s">
        <v>53</v>
      </c>
      <c r="E109" s="190">
        <v>40</v>
      </c>
      <c r="F109" s="214">
        <f t="shared" si="77"/>
        <v>0.0565</v>
      </c>
      <c r="G109" s="197">
        <f t="shared" si="81"/>
        <v>2.26</v>
      </c>
      <c r="H109" s="197">
        <f t="shared" si="82"/>
        <v>0</v>
      </c>
      <c r="I109" s="198">
        <f t="shared" si="83"/>
        <v>2.26</v>
      </c>
      <c r="J109" s="257">
        <v>10</v>
      </c>
      <c r="K109" s="214">
        <f t="shared" si="78"/>
        <v>0.0445</v>
      </c>
      <c r="L109" s="197">
        <f t="shared" si="84"/>
        <v>0.45</v>
      </c>
      <c r="M109" s="197">
        <f t="shared" si="85"/>
        <v>0</v>
      </c>
      <c r="N109" s="198">
        <f t="shared" si="86"/>
        <v>0.45</v>
      </c>
      <c r="O109" s="199">
        <f t="shared" si="87"/>
        <v>2.71</v>
      </c>
      <c r="P109" s="282" t="s">
        <v>893</v>
      </c>
      <c r="Q109" s="446" t="s">
        <v>894</v>
      </c>
      <c r="R109" s="446"/>
      <c r="S109" s="76"/>
      <c r="T109" s="22" t="s">
        <v>54</v>
      </c>
      <c r="U109" s="200">
        <f t="shared" si="88"/>
        <v>2.71</v>
      </c>
      <c r="V109" s="200">
        <f t="shared" si="89"/>
        <v>0.28</v>
      </c>
      <c r="W109" s="197">
        <f t="shared" si="90"/>
        <v>1.02</v>
      </c>
      <c r="X109" s="197">
        <f t="shared" si="91"/>
        <v>0</v>
      </c>
      <c r="Y109" s="197">
        <f t="shared" si="92"/>
        <v>0.04</v>
      </c>
      <c r="Z109" s="201">
        <f t="shared" si="93"/>
        <v>2.97</v>
      </c>
      <c r="AA109" s="202">
        <f t="shared" si="94"/>
        <v>7.02</v>
      </c>
      <c r="AB109" s="203">
        <f t="shared" si="95"/>
        <v>2.11</v>
      </c>
      <c r="AC109" s="204">
        <f t="shared" si="96"/>
        <v>9.129999999999999</v>
      </c>
      <c r="AD109" s="205">
        <f t="shared" si="97"/>
        <v>0.48</v>
      </c>
      <c r="AE109" s="206">
        <f t="shared" si="98"/>
        <v>9.61</v>
      </c>
      <c r="AF109" s="84"/>
      <c r="AG109" s="282" t="s">
        <v>893</v>
      </c>
      <c r="AH109" s="446" t="s">
        <v>894</v>
      </c>
      <c r="AI109" s="446"/>
      <c r="AJ109" s="78" t="s">
        <v>54</v>
      </c>
      <c r="AK109" s="78"/>
      <c r="AL109" s="207">
        <f t="shared" si="99"/>
        <v>9.61</v>
      </c>
      <c r="AM109" s="207"/>
      <c r="AN109" s="207">
        <f t="shared" si="100"/>
        <v>3.79</v>
      </c>
      <c r="AO109" s="19"/>
      <c r="AP109" s="84"/>
      <c r="AQ109" s="282" t="s">
        <v>893</v>
      </c>
      <c r="AR109" s="446" t="s">
        <v>894</v>
      </c>
      <c r="AS109" s="446"/>
      <c r="AT109" s="29">
        <v>15</v>
      </c>
      <c r="AU109" s="214">
        <f t="shared" si="79"/>
        <v>0.0565</v>
      </c>
      <c r="AV109" s="269">
        <f t="shared" si="101"/>
        <v>0.85</v>
      </c>
      <c r="AW109" s="269">
        <f t="shared" si="102"/>
        <v>0</v>
      </c>
      <c r="AX109" s="198">
        <f t="shared" si="103"/>
        <v>0.85</v>
      </c>
      <c r="AY109" s="190">
        <v>5</v>
      </c>
      <c r="AZ109" s="214">
        <f t="shared" si="80"/>
        <v>0.0445</v>
      </c>
      <c r="BA109" s="269">
        <f t="shared" si="104"/>
        <v>0.22</v>
      </c>
      <c r="BB109" s="269">
        <f t="shared" si="105"/>
        <v>0</v>
      </c>
      <c r="BC109" s="198">
        <f t="shared" si="106"/>
        <v>0.22</v>
      </c>
      <c r="BD109" s="199">
        <f t="shared" si="107"/>
        <v>1.07</v>
      </c>
      <c r="BE109" s="282" t="s">
        <v>893</v>
      </c>
      <c r="BF109" s="446" t="s">
        <v>894</v>
      </c>
      <c r="BG109" s="446"/>
      <c r="BH109" s="22" t="s">
        <v>54</v>
      </c>
      <c r="BI109" s="200">
        <f t="shared" si="108"/>
        <v>1.07</v>
      </c>
      <c r="BJ109" s="200">
        <f t="shared" si="109"/>
        <v>0.11</v>
      </c>
      <c r="BK109" s="197">
        <f t="shared" si="110"/>
        <v>0.4</v>
      </c>
      <c r="BL109" s="197">
        <f t="shared" si="111"/>
        <v>0</v>
      </c>
      <c r="BM109" s="197">
        <f t="shared" si="112"/>
        <v>0.02</v>
      </c>
      <c r="BN109" s="201">
        <f t="shared" si="113"/>
        <v>1.17</v>
      </c>
      <c r="BO109" s="202">
        <f t="shared" si="114"/>
        <v>2.77</v>
      </c>
      <c r="BP109" s="203">
        <f t="shared" si="115"/>
        <v>0.83</v>
      </c>
      <c r="BQ109" s="204">
        <f t="shared" si="116"/>
        <v>3.6</v>
      </c>
      <c r="BR109" s="205">
        <f t="shared" si="117"/>
        <v>0.19</v>
      </c>
      <c r="BS109" s="206">
        <f t="shared" si="118"/>
        <v>3.79</v>
      </c>
      <c r="BT109" s="84"/>
    </row>
    <row r="110" spans="1:72" ht="15" customHeight="1">
      <c r="A110" s="84"/>
      <c r="B110" s="282" t="s">
        <v>896</v>
      </c>
      <c r="C110" s="282" t="s">
        <v>897</v>
      </c>
      <c r="D110" s="78" t="s">
        <v>53</v>
      </c>
      <c r="E110" s="190">
        <v>10</v>
      </c>
      <c r="F110" s="214">
        <f t="shared" si="77"/>
        <v>0.0565</v>
      </c>
      <c r="G110" s="197">
        <f t="shared" si="81"/>
        <v>0.57</v>
      </c>
      <c r="H110" s="197">
        <f t="shared" si="82"/>
        <v>0</v>
      </c>
      <c r="I110" s="198">
        <f t="shared" si="83"/>
        <v>0.57</v>
      </c>
      <c r="J110" s="257">
        <v>25</v>
      </c>
      <c r="K110" s="214">
        <f t="shared" si="78"/>
        <v>0.0445</v>
      </c>
      <c r="L110" s="197">
        <f t="shared" si="84"/>
        <v>1.11</v>
      </c>
      <c r="M110" s="197">
        <f t="shared" si="85"/>
        <v>0</v>
      </c>
      <c r="N110" s="198">
        <f t="shared" si="86"/>
        <v>1.11</v>
      </c>
      <c r="O110" s="199">
        <f t="shared" si="87"/>
        <v>1.6800000000000002</v>
      </c>
      <c r="P110" s="282" t="s">
        <v>896</v>
      </c>
      <c r="Q110" s="446" t="s">
        <v>897</v>
      </c>
      <c r="R110" s="446"/>
      <c r="S110" s="76"/>
      <c r="T110" s="22" t="s">
        <v>54</v>
      </c>
      <c r="U110" s="200">
        <f t="shared" si="88"/>
        <v>1.6800000000000002</v>
      </c>
      <c r="V110" s="200">
        <f t="shared" si="89"/>
        <v>0.17</v>
      </c>
      <c r="W110" s="197">
        <f t="shared" si="90"/>
        <v>0.63</v>
      </c>
      <c r="X110" s="197">
        <f t="shared" si="91"/>
        <v>0</v>
      </c>
      <c r="Y110" s="197">
        <f t="shared" si="92"/>
        <v>0.03</v>
      </c>
      <c r="Z110" s="201">
        <f t="shared" si="93"/>
        <v>1.84</v>
      </c>
      <c r="AA110" s="202">
        <f t="shared" si="94"/>
        <v>4.35</v>
      </c>
      <c r="AB110" s="203">
        <f t="shared" si="95"/>
        <v>1.31</v>
      </c>
      <c r="AC110" s="204">
        <f t="shared" si="96"/>
        <v>5.66</v>
      </c>
      <c r="AD110" s="205">
        <f t="shared" si="97"/>
        <v>0.3</v>
      </c>
      <c r="AE110" s="206">
        <f t="shared" si="98"/>
        <v>5.96</v>
      </c>
      <c r="AF110" s="84"/>
      <c r="AG110" s="282" t="s">
        <v>896</v>
      </c>
      <c r="AH110" s="446" t="s">
        <v>897</v>
      </c>
      <c r="AI110" s="446"/>
      <c r="AJ110" s="78" t="s">
        <v>54</v>
      </c>
      <c r="AK110" s="78"/>
      <c r="AL110" s="207">
        <f t="shared" si="99"/>
        <v>5.96</v>
      </c>
      <c r="AM110" s="207"/>
      <c r="AN110" s="207">
        <f t="shared" si="100"/>
        <v>1.78</v>
      </c>
      <c r="AO110" s="19"/>
      <c r="AP110" s="84"/>
      <c r="AQ110" s="282" t="s">
        <v>896</v>
      </c>
      <c r="AR110" s="446" t="s">
        <v>897</v>
      </c>
      <c r="AS110" s="446"/>
      <c r="AT110" s="29">
        <v>5</v>
      </c>
      <c r="AU110" s="214">
        <f t="shared" si="79"/>
        <v>0.0565</v>
      </c>
      <c r="AV110" s="269">
        <f t="shared" si="101"/>
        <v>0.28</v>
      </c>
      <c r="AW110" s="269">
        <f t="shared" si="102"/>
        <v>0</v>
      </c>
      <c r="AX110" s="198">
        <f t="shared" si="103"/>
        <v>0.28</v>
      </c>
      <c r="AY110" s="190">
        <v>5</v>
      </c>
      <c r="AZ110" s="214">
        <f t="shared" si="80"/>
        <v>0.0445</v>
      </c>
      <c r="BA110" s="269">
        <f t="shared" si="104"/>
        <v>0.22</v>
      </c>
      <c r="BB110" s="269">
        <f t="shared" si="105"/>
        <v>0</v>
      </c>
      <c r="BC110" s="198">
        <f t="shared" si="106"/>
        <v>0.22</v>
      </c>
      <c r="BD110" s="199">
        <f t="shared" si="107"/>
        <v>0.5</v>
      </c>
      <c r="BE110" s="282" t="s">
        <v>896</v>
      </c>
      <c r="BF110" s="446" t="s">
        <v>897</v>
      </c>
      <c r="BG110" s="446"/>
      <c r="BH110" s="22" t="s">
        <v>54</v>
      </c>
      <c r="BI110" s="200">
        <f t="shared" si="108"/>
        <v>0.5</v>
      </c>
      <c r="BJ110" s="200">
        <f t="shared" si="109"/>
        <v>0.05</v>
      </c>
      <c r="BK110" s="197">
        <f t="shared" si="110"/>
        <v>0.19</v>
      </c>
      <c r="BL110" s="197">
        <f t="shared" si="111"/>
        <v>0</v>
      </c>
      <c r="BM110" s="197">
        <f t="shared" si="112"/>
        <v>0.01</v>
      </c>
      <c r="BN110" s="201">
        <f t="shared" si="113"/>
        <v>0.55</v>
      </c>
      <c r="BO110" s="202">
        <f t="shared" si="114"/>
        <v>1.3</v>
      </c>
      <c r="BP110" s="203">
        <f t="shared" si="115"/>
        <v>0.39</v>
      </c>
      <c r="BQ110" s="204">
        <f t="shared" si="116"/>
        <v>1.69</v>
      </c>
      <c r="BR110" s="205">
        <f t="shared" si="117"/>
        <v>0.09</v>
      </c>
      <c r="BS110" s="206">
        <f t="shared" si="118"/>
        <v>1.78</v>
      </c>
      <c r="BT110" s="84"/>
    </row>
    <row r="111" spans="1:72" ht="27" customHeight="1">
      <c r="A111" s="84"/>
      <c r="B111" s="282"/>
      <c r="C111" s="363"/>
      <c r="D111" s="78"/>
      <c r="E111" s="190"/>
      <c r="F111" s="214"/>
      <c r="G111" s="197"/>
      <c r="H111" s="197"/>
      <c r="I111" s="198"/>
      <c r="J111" s="257"/>
      <c r="K111" s="214"/>
      <c r="L111" s="197"/>
      <c r="M111" s="197"/>
      <c r="N111" s="198"/>
      <c r="O111" s="199"/>
      <c r="P111" s="282"/>
      <c r="Q111" s="324"/>
      <c r="R111" s="324"/>
      <c r="S111" s="76"/>
      <c r="T111" s="22"/>
      <c r="U111" s="200"/>
      <c r="V111" s="200"/>
      <c r="W111" s="197"/>
      <c r="X111" s="197"/>
      <c r="Y111" s="197"/>
      <c r="Z111" s="201"/>
      <c r="AA111" s="202"/>
      <c r="AB111" s="203"/>
      <c r="AC111" s="204"/>
      <c r="AD111" s="205"/>
      <c r="AE111" s="206"/>
      <c r="AF111" s="84"/>
      <c r="AG111" s="282"/>
      <c r="AH111" s="324"/>
      <c r="AI111" s="324"/>
      <c r="AJ111" s="78"/>
      <c r="AK111" s="78"/>
      <c r="AL111" s="207"/>
      <c r="AM111" s="207"/>
      <c r="AN111" s="207"/>
      <c r="AO111" s="19"/>
      <c r="AP111" s="84"/>
      <c r="AQ111" s="282"/>
      <c r="AR111" s="324"/>
      <c r="AS111" s="324"/>
      <c r="AT111" s="29"/>
      <c r="AU111" s="214"/>
      <c r="AV111" s="269"/>
      <c r="AW111" s="269"/>
      <c r="AX111" s="198"/>
      <c r="AY111" s="190"/>
      <c r="AZ111" s="214"/>
      <c r="BA111" s="269"/>
      <c r="BB111" s="269"/>
      <c r="BC111" s="198"/>
      <c r="BD111" s="199"/>
      <c r="BE111" s="282"/>
      <c r="BF111" s="324"/>
      <c r="BG111" s="324"/>
      <c r="BH111" s="22"/>
      <c r="BI111" s="200"/>
      <c r="BJ111" s="200"/>
      <c r="BK111" s="197"/>
      <c r="BL111" s="197"/>
      <c r="BM111" s="197"/>
      <c r="BN111" s="201"/>
      <c r="BO111" s="202"/>
      <c r="BP111" s="203"/>
      <c r="BQ111" s="204"/>
      <c r="BR111" s="205"/>
      <c r="BS111" s="206"/>
      <c r="BT111" s="84"/>
    </row>
    <row r="112" spans="1:72" ht="27" customHeight="1">
      <c r="A112" s="84"/>
      <c r="B112" s="233" t="s">
        <v>247</v>
      </c>
      <c r="C112" s="325" t="s">
        <v>248</v>
      </c>
      <c r="D112" s="78"/>
      <c r="E112" s="190"/>
      <c r="F112" s="214"/>
      <c r="G112" s="197"/>
      <c r="H112" s="197"/>
      <c r="I112" s="198"/>
      <c r="J112" s="257"/>
      <c r="K112" s="214"/>
      <c r="L112" s="197"/>
      <c r="M112" s="197"/>
      <c r="N112" s="198"/>
      <c r="O112" s="199"/>
      <c r="P112" s="282"/>
      <c r="Q112" s="324"/>
      <c r="R112" s="324"/>
      <c r="S112" s="76"/>
      <c r="T112" s="22"/>
      <c r="U112" s="200"/>
      <c r="V112" s="200"/>
      <c r="W112" s="197"/>
      <c r="X112" s="197"/>
      <c r="Y112" s="197"/>
      <c r="Z112" s="201"/>
      <c r="AA112" s="202"/>
      <c r="AB112" s="203"/>
      <c r="AC112" s="204"/>
      <c r="AD112" s="205"/>
      <c r="AE112" s="206"/>
      <c r="AF112" s="84"/>
      <c r="AG112" s="282"/>
      <c r="AH112" s="324"/>
      <c r="AI112" s="324"/>
      <c r="AJ112" s="78"/>
      <c r="AK112" s="78"/>
      <c r="AL112" s="207"/>
      <c r="AM112" s="207"/>
      <c r="AN112" s="207"/>
      <c r="AO112" s="19"/>
      <c r="AP112" s="84"/>
      <c r="AQ112" s="282"/>
      <c r="AR112" s="324"/>
      <c r="AS112" s="324"/>
      <c r="AT112" s="29"/>
      <c r="AU112" s="214"/>
      <c r="AV112" s="269"/>
      <c r="AW112" s="269"/>
      <c r="AX112" s="198"/>
      <c r="AY112" s="190"/>
      <c r="AZ112" s="214"/>
      <c r="BA112" s="269"/>
      <c r="BB112" s="269"/>
      <c r="BC112" s="198"/>
      <c r="BD112" s="199"/>
      <c r="BE112" s="282"/>
      <c r="BF112" s="324"/>
      <c r="BG112" s="324"/>
      <c r="BH112" s="22"/>
      <c r="BI112" s="200"/>
      <c r="BJ112" s="200"/>
      <c r="BK112" s="197"/>
      <c r="BL112" s="197"/>
      <c r="BM112" s="197"/>
      <c r="BN112" s="201"/>
      <c r="BO112" s="202"/>
      <c r="BP112" s="203"/>
      <c r="BQ112" s="204"/>
      <c r="BR112" s="205"/>
      <c r="BS112" s="206"/>
      <c r="BT112" s="84"/>
    </row>
    <row r="113" spans="1:72" ht="39.75" customHeight="1">
      <c r="A113" s="84"/>
      <c r="B113" s="233" t="s">
        <v>249</v>
      </c>
      <c r="C113" s="364" t="s">
        <v>250</v>
      </c>
      <c r="D113" s="78"/>
      <c r="E113" s="190"/>
      <c r="F113" s="214"/>
      <c r="G113" s="197"/>
      <c r="H113" s="197"/>
      <c r="I113" s="198"/>
      <c r="J113" s="257"/>
      <c r="K113" s="214"/>
      <c r="L113" s="197"/>
      <c r="M113" s="197"/>
      <c r="N113" s="198"/>
      <c r="O113" s="199"/>
      <c r="P113" s="282"/>
      <c r="Q113" s="324"/>
      <c r="R113" s="324"/>
      <c r="S113" s="76"/>
      <c r="T113" s="22"/>
      <c r="U113" s="200"/>
      <c r="V113" s="200"/>
      <c r="W113" s="197"/>
      <c r="X113" s="197"/>
      <c r="Y113" s="197"/>
      <c r="Z113" s="201"/>
      <c r="AA113" s="202"/>
      <c r="AB113" s="203"/>
      <c r="AC113" s="204"/>
      <c r="AD113" s="205"/>
      <c r="AE113" s="206"/>
      <c r="AF113" s="84"/>
      <c r="AG113" s="282"/>
      <c r="AH113" s="324"/>
      <c r="AI113" s="324"/>
      <c r="AJ113" s="78"/>
      <c r="AK113" s="78"/>
      <c r="AL113" s="207"/>
      <c r="AM113" s="207"/>
      <c r="AN113" s="207"/>
      <c r="AO113" s="19"/>
      <c r="AP113" s="84"/>
      <c r="AQ113" s="282"/>
      <c r="AR113" s="324"/>
      <c r="AS113" s="324"/>
      <c r="AT113" s="29"/>
      <c r="AU113" s="214"/>
      <c r="AV113" s="269"/>
      <c r="AW113" s="269"/>
      <c r="AX113" s="198"/>
      <c r="AY113" s="190"/>
      <c r="AZ113" s="214"/>
      <c r="BA113" s="269"/>
      <c r="BB113" s="269"/>
      <c r="BC113" s="198"/>
      <c r="BD113" s="199"/>
      <c r="BE113" s="282"/>
      <c r="BF113" s="324"/>
      <c r="BG113" s="324"/>
      <c r="BH113" s="22"/>
      <c r="BI113" s="200"/>
      <c r="BJ113" s="200"/>
      <c r="BK113" s="197"/>
      <c r="BL113" s="197"/>
      <c r="BM113" s="197"/>
      <c r="BN113" s="201"/>
      <c r="BO113" s="202"/>
      <c r="BP113" s="203"/>
      <c r="BQ113" s="204"/>
      <c r="BR113" s="205"/>
      <c r="BS113" s="206"/>
      <c r="BT113" s="84"/>
    </row>
    <row r="114" spans="1:72" ht="21.75" customHeight="1">
      <c r="A114" s="84"/>
      <c r="B114" s="235" t="s">
        <v>251</v>
      </c>
      <c r="C114" s="236" t="s">
        <v>252</v>
      </c>
      <c r="D114" s="78" t="s">
        <v>53</v>
      </c>
      <c r="E114" s="190">
        <v>10</v>
      </c>
      <c r="F114" s="214">
        <f aca="true" t="shared" si="119" ref="F114:F120">$G$15</f>
        <v>0.0565</v>
      </c>
      <c r="G114" s="197">
        <f>ROUND(E114*F114,2)</f>
        <v>0.57</v>
      </c>
      <c r="H114" s="197">
        <f>ROUND(G114*($A$16+$A$17)/100,2)</f>
        <v>0</v>
      </c>
      <c r="I114" s="198">
        <f>SUM(G114:H114)</f>
        <v>0.57</v>
      </c>
      <c r="J114" s="257">
        <v>10</v>
      </c>
      <c r="K114" s="214">
        <f aca="true" t="shared" si="120" ref="K114:K120">$G$18</f>
        <v>0.0445</v>
      </c>
      <c r="L114" s="197">
        <f>ROUND(J114*K114,2)</f>
        <v>0.45</v>
      </c>
      <c r="M114" s="197">
        <f>ROUND(L114*($A$16+$A$17)/100,2)</f>
        <v>0</v>
      </c>
      <c r="N114" s="198">
        <f>SUM(L114:M114)</f>
        <v>0.45</v>
      </c>
      <c r="O114" s="199">
        <f>SUM(I114,N114)</f>
        <v>1.02</v>
      </c>
      <c r="P114" s="235" t="s">
        <v>251</v>
      </c>
      <c r="Q114" s="446" t="s">
        <v>252</v>
      </c>
      <c r="R114" s="446"/>
      <c r="S114" s="76"/>
      <c r="T114" s="22" t="s">
        <v>54</v>
      </c>
      <c r="U114" s="200">
        <f t="shared" si="40"/>
        <v>1.02</v>
      </c>
      <c r="V114" s="200">
        <f t="shared" si="41"/>
        <v>0.11</v>
      </c>
      <c r="W114" s="197">
        <f t="shared" si="42"/>
        <v>0.38</v>
      </c>
      <c r="X114" s="197">
        <f t="shared" si="43"/>
        <v>0</v>
      </c>
      <c r="Y114" s="197">
        <f aca="true" t="shared" si="121" ref="Y114:Y124">ROUND(SUM(U114:V114)*$AA$20,2)</f>
        <v>0.02</v>
      </c>
      <c r="Z114" s="201">
        <f t="shared" si="44"/>
        <v>1.12</v>
      </c>
      <c r="AA114" s="202">
        <f t="shared" si="45"/>
        <v>2.6500000000000004</v>
      </c>
      <c r="AB114" s="203">
        <f t="shared" si="46"/>
        <v>0.8</v>
      </c>
      <c r="AC114" s="204">
        <f t="shared" si="47"/>
        <v>3.45</v>
      </c>
      <c r="AD114" s="205">
        <f t="shared" si="48"/>
        <v>0.18</v>
      </c>
      <c r="AE114" s="206">
        <f t="shared" si="49"/>
        <v>3.6300000000000003</v>
      </c>
      <c r="AF114" s="84"/>
      <c r="AG114" s="235" t="s">
        <v>251</v>
      </c>
      <c r="AH114" s="446" t="s">
        <v>252</v>
      </c>
      <c r="AI114" s="446"/>
      <c r="AJ114" s="78" t="s">
        <v>54</v>
      </c>
      <c r="AK114" s="78"/>
      <c r="AL114" s="207">
        <f t="shared" si="17"/>
        <v>3.6300000000000003</v>
      </c>
      <c r="AM114" s="207"/>
      <c r="AN114" s="207">
        <f t="shared" si="18"/>
        <v>1.78</v>
      </c>
      <c r="AO114" s="19"/>
      <c r="AP114" s="84"/>
      <c r="AQ114" s="235" t="s">
        <v>251</v>
      </c>
      <c r="AR114" s="446" t="s">
        <v>252</v>
      </c>
      <c r="AS114" s="446"/>
      <c r="AT114" s="29">
        <v>5</v>
      </c>
      <c r="AU114" s="214">
        <f aca="true" t="shared" si="122" ref="AU114:AU194">$AV$15</f>
        <v>0.0565</v>
      </c>
      <c r="AV114" s="269">
        <f aca="true" t="shared" si="123" ref="AV114:AV190">ROUND(AT114*AU114,2)</f>
        <v>0.28</v>
      </c>
      <c r="AW114" s="269">
        <f t="shared" si="21"/>
        <v>0</v>
      </c>
      <c r="AX114" s="198">
        <f aca="true" t="shared" si="124" ref="AX114:AX190">SUM(AV114:AW114)</f>
        <v>0.28</v>
      </c>
      <c r="AY114" s="190">
        <v>5</v>
      </c>
      <c r="AZ114" s="214">
        <f aca="true" t="shared" si="125" ref="AZ114:AZ194">$AV$18</f>
        <v>0.0445</v>
      </c>
      <c r="BA114" s="269">
        <f aca="true" t="shared" si="126" ref="BA114:BA190">ROUND(AY114*AZ114,2)</f>
        <v>0.22</v>
      </c>
      <c r="BB114" s="269">
        <f t="shared" si="25"/>
        <v>0</v>
      </c>
      <c r="BC114" s="198">
        <f aca="true" t="shared" si="127" ref="BC114:BC190">SUM(BA114:BB114)</f>
        <v>0.22</v>
      </c>
      <c r="BD114" s="199">
        <f aca="true" t="shared" si="128" ref="BD114:BD190">SUM(AX114,BC114)</f>
        <v>0.5</v>
      </c>
      <c r="BE114" s="235" t="s">
        <v>251</v>
      </c>
      <c r="BF114" s="446" t="s">
        <v>252</v>
      </c>
      <c r="BG114" s="446"/>
      <c r="BH114" s="22" t="s">
        <v>54</v>
      </c>
      <c r="BI114" s="200">
        <f t="shared" si="30"/>
        <v>0.5</v>
      </c>
      <c r="BJ114" s="200">
        <f t="shared" si="31"/>
        <v>0.05</v>
      </c>
      <c r="BK114" s="197">
        <f t="shared" si="32"/>
        <v>0.19</v>
      </c>
      <c r="BL114" s="197">
        <f t="shared" si="33"/>
        <v>0</v>
      </c>
      <c r="BM114" s="197">
        <f>ROUND(SUM(BI114:BJ114)*$AA$20,2)</f>
        <v>0.01</v>
      </c>
      <c r="BN114" s="201">
        <f t="shared" si="34"/>
        <v>0.55</v>
      </c>
      <c r="BO114" s="202">
        <f t="shared" si="35"/>
        <v>1.3</v>
      </c>
      <c r="BP114" s="203">
        <f t="shared" si="36"/>
        <v>0.39</v>
      </c>
      <c r="BQ114" s="204">
        <f t="shared" si="37"/>
        <v>1.69</v>
      </c>
      <c r="BR114" s="205">
        <f t="shared" si="38"/>
        <v>0.09</v>
      </c>
      <c r="BS114" s="206">
        <f t="shared" si="39"/>
        <v>1.78</v>
      </c>
      <c r="BT114" s="84"/>
    </row>
    <row r="115" spans="1:72" ht="22.5" customHeight="1">
      <c r="A115" s="84"/>
      <c r="B115" s="233" t="s">
        <v>253</v>
      </c>
      <c r="C115" s="234" t="s">
        <v>254</v>
      </c>
      <c r="D115" s="251"/>
      <c r="E115" s="255"/>
      <c r="F115" s="256"/>
      <c r="G115" s="253"/>
      <c r="H115" s="253"/>
      <c r="I115" s="254"/>
      <c r="J115" s="257"/>
      <c r="K115" s="255"/>
      <c r="L115" s="253"/>
      <c r="M115" s="253"/>
      <c r="N115" s="254"/>
      <c r="O115" s="220"/>
      <c r="P115" s="233" t="s">
        <v>253</v>
      </c>
      <c r="Q115" s="442" t="s">
        <v>254</v>
      </c>
      <c r="R115" s="442"/>
      <c r="S115" s="76"/>
      <c r="T115" s="219"/>
      <c r="U115" s="253"/>
      <c r="V115" s="253"/>
      <c r="W115" s="253"/>
      <c r="X115" s="253"/>
      <c r="Y115" s="253"/>
      <c r="Z115" s="253"/>
      <c r="AA115" s="253"/>
      <c r="AB115" s="253"/>
      <c r="AC115" s="253"/>
      <c r="AD115" s="253"/>
      <c r="AE115" s="220"/>
      <c r="AF115" s="84"/>
      <c r="AG115" s="233" t="s">
        <v>253</v>
      </c>
      <c r="AH115" s="442" t="s">
        <v>254</v>
      </c>
      <c r="AI115" s="442"/>
      <c r="AJ115" s="78"/>
      <c r="AK115" s="78"/>
      <c r="AL115" s="207"/>
      <c r="AM115" s="207"/>
      <c r="AN115" s="207"/>
      <c r="AO115" s="19"/>
      <c r="AP115" s="84"/>
      <c r="AQ115" s="233" t="s">
        <v>253</v>
      </c>
      <c r="AR115" s="442" t="s">
        <v>254</v>
      </c>
      <c r="AS115" s="442"/>
      <c r="AT115" s="29"/>
      <c r="AU115" s="256"/>
      <c r="AV115" s="254"/>
      <c r="AW115" s="254"/>
      <c r="AX115" s="254"/>
      <c r="AY115" s="255"/>
      <c r="AZ115" s="256"/>
      <c r="BA115" s="254"/>
      <c r="BB115" s="254"/>
      <c r="BC115" s="254"/>
      <c r="BD115" s="220"/>
      <c r="BE115" s="233" t="s">
        <v>253</v>
      </c>
      <c r="BF115" s="442" t="s">
        <v>254</v>
      </c>
      <c r="BG115" s="442"/>
      <c r="BH115" s="219"/>
      <c r="BI115" s="253"/>
      <c r="BJ115" s="253"/>
      <c r="BK115" s="253"/>
      <c r="BL115" s="253"/>
      <c r="BM115" s="253"/>
      <c r="BN115" s="253"/>
      <c r="BO115" s="253"/>
      <c r="BP115" s="253"/>
      <c r="BQ115" s="253"/>
      <c r="BR115" s="253"/>
      <c r="BS115" s="220"/>
      <c r="BT115" s="84"/>
    </row>
    <row r="116" spans="1:72" ht="43.5" customHeight="1">
      <c r="A116" s="84"/>
      <c r="B116" s="235" t="s">
        <v>257</v>
      </c>
      <c r="C116" s="236" t="s">
        <v>258</v>
      </c>
      <c r="D116" s="78" t="s">
        <v>53</v>
      </c>
      <c r="E116" s="190">
        <v>10</v>
      </c>
      <c r="F116" s="214">
        <f t="shared" si="119"/>
        <v>0.0565</v>
      </c>
      <c r="G116" s="197">
        <f>ROUND(E116*F116,2)</f>
        <v>0.57</v>
      </c>
      <c r="H116" s="197">
        <f>ROUND(G116*($A$16+$A$17)/100,2)</f>
        <v>0</v>
      </c>
      <c r="I116" s="198">
        <f>SUM(G116:H116)</f>
        <v>0.57</v>
      </c>
      <c r="J116" s="257">
        <v>20</v>
      </c>
      <c r="K116" s="214">
        <f t="shared" si="120"/>
        <v>0.0445</v>
      </c>
      <c r="L116" s="197">
        <f>ROUND(J116*K116,2)</f>
        <v>0.89</v>
      </c>
      <c r="M116" s="197">
        <f>ROUND(L116*($A$16+$A$17)/100,2)</f>
        <v>0</v>
      </c>
      <c r="N116" s="198">
        <f>SUM(L116:M116)</f>
        <v>0.89</v>
      </c>
      <c r="O116" s="199">
        <f>SUM(I116,N116)</f>
        <v>1.46</v>
      </c>
      <c r="P116" s="235" t="s">
        <v>257</v>
      </c>
      <c r="Q116" s="446" t="s">
        <v>258</v>
      </c>
      <c r="R116" s="446"/>
      <c r="S116" s="76"/>
      <c r="T116" s="22" t="s">
        <v>54</v>
      </c>
      <c r="U116" s="200">
        <f t="shared" si="40"/>
        <v>1.46</v>
      </c>
      <c r="V116" s="200">
        <f t="shared" si="41"/>
        <v>0.15</v>
      </c>
      <c r="W116" s="197">
        <f t="shared" si="42"/>
        <v>0.55</v>
      </c>
      <c r="X116" s="197">
        <f t="shared" si="43"/>
        <v>0</v>
      </c>
      <c r="Y116" s="197">
        <f t="shared" si="121"/>
        <v>0.02</v>
      </c>
      <c r="Z116" s="201">
        <f t="shared" si="44"/>
        <v>1.6</v>
      </c>
      <c r="AA116" s="202">
        <f t="shared" si="45"/>
        <v>3.7800000000000002</v>
      </c>
      <c r="AB116" s="203">
        <f t="shared" si="46"/>
        <v>1.13</v>
      </c>
      <c r="AC116" s="204">
        <f t="shared" si="47"/>
        <v>4.91</v>
      </c>
      <c r="AD116" s="205">
        <f t="shared" si="48"/>
        <v>0.26</v>
      </c>
      <c r="AE116" s="206">
        <f t="shared" si="49"/>
        <v>5.17</v>
      </c>
      <c r="AF116" s="84"/>
      <c r="AG116" s="235" t="s">
        <v>257</v>
      </c>
      <c r="AH116" s="446" t="s">
        <v>258</v>
      </c>
      <c r="AI116" s="446"/>
      <c r="AJ116" s="78" t="s">
        <v>54</v>
      </c>
      <c r="AK116" s="78"/>
      <c r="AL116" s="207">
        <f t="shared" si="17"/>
        <v>5.17</v>
      </c>
      <c r="AM116" s="207"/>
      <c r="AN116" s="207">
        <f t="shared" si="18"/>
        <v>2.5999999999999996</v>
      </c>
      <c r="AO116" s="19"/>
      <c r="AP116" s="84"/>
      <c r="AQ116" s="235" t="s">
        <v>257</v>
      </c>
      <c r="AR116" s="446" t="s">
        <v>258</v>
      </c>
      <c r="AS116" s="446"/>
      <c r="AT116" s="29">
        <v>5</v>
      </c>
      <c r="AU116" s="214">
        <f t="shared" si="122"/>
        <v>0.0565</v>
      </c>
      <c r="AV116" s="269">
        <f t="shared" si="123"/>
        <v>0.28</v>
      </c>
      <c r="AW116" s="269">
        <f t="shared" si="21"/>
        <v>0</v>
      </c>
      <c r="AX116" s="198">
        <f t="shared" si="124"/>
        <v>0.28</v>
      </c>
      <c r="AY116" s="190">
        <v>10</v>
      </c>
      <c r="AZ116" s="214">
        <f t="shared" si="125"/>
        <v>0.0445</v>
      </c>
      <c r="BA116" s="269">
        <f t="shared" si="126"/>
        <v>0.45</v>
      </c>
      <c r="BB116" s="269">
        <f t="shared" si="25"/>
        <v>0</v>
      </c>
      <c r="BC116" s="198">
        <f t="shared" si="127"/>
        <v>0.45</v>
      </c>
      <c r="BD116" s="199">
        <f t="shared" si="128"/>
        <v>0.73</v>
      </c>
      <c r="BE116" s="235" t="s">
        <v>257</v>
      </c>
      <c r="BF116" s="446" t="s">
        <v>258</v>
      </c>
      <c r="BG116" s="446"/>
      <c r="BH116" s="22" t="s">
        <v>54</v>
      </c>
      <c r="BI116" s="200">
        <f t="shared" si="30"/>
        <v>0.73</v>
      </c>
      <c r="BJ116" s="200">
        <f t="shared" si="31"/>
        <v>0.08</v>
      </c>
      <c r="BK116" s="197">
        <f t="shared" si="32"/>
        <v>0.28</v>
      </c>
      <c r="BL116" s="197">
        <f t="shared" si="33"/>
        <v>0</v>
      </c>
      <c r="BM116" s="197">
        <f>ROUND(SUM(BI116:BJ116)*$AA$20,2)</f>
        <v>0.01</v>
      </c>
      <c r="BN116" s="201">
        <f t="shared" si="34"/>
        <v>0.8</v>
      </c>
      <c r="BO116" s="202">
        <f t="shared" si="35"/>
        <v>1.9</v>
      </c>
      <c r="BP116" s="203">
        <f t="shared" si="36"/>
        <v>0.57</v>
      </c>
      <c r="BQ116" s="204">
        <f t="shared" si="37"/>
        <v>2.4699999999999998</v>
      </c>
      <c r="BR116" s="205">
        <f t="shared" si="38"/>
        <v>0.13</v>
      </c>
      <c r="BS116" s="206">
        <f t="shared" si="39"/>
        <v>2.5999999999999996</v>
      </c>
      <c r="BT116" s="84"/>
    </row>
    <row r="117" spans="1:72" ht="19.5" customHeight="1">
      <c r="A117" s="84"/>
      <c r="B117" s="235" t="s">
        <v>259</v>
      </c>
      <c r="C117" s="236" t="s">
        <v>260</v>
      </c>
      <c r="D117" s="78" t="s">
        <v>53</v>
      </c>
      <c r="E117" s="190">
        <v>10</v>
      </c>
      <c r="F117" s="214">
        <f t="shared" si="119"/>
        <v>0.0565</v>
      </c>
      <c r="G117" s="197">
        <f>ROUND(E117*F117,2)</f>
        <v>0.57</v>
      </c>
      <c r="H117" s="197">
        <f>ROUND(G117*($A$16+$A$17)/100,2)</f>
        <v>0</v>
      </c>
      <c r="I117" s="198">
        <f>SUM(G117:H117)</f>
        <v>0.57</v>
      </c>
      <c r="J117" s="257">
        <v>20</v>
      </c>
      <c r="K117" s="214">
        <f t="shared" si="120"/>
        <v>0.0445</v>
      </c>
      <c r="L117" s="197">
        <f>ROUND(J117*K117,2)</f>
        <v>0.89</v>
      </c>
      <c r="M117" s="197">
        <f>ROUND(L117*($A$16+$A$17)/100,2)</f>
        <v>0</v>
      </c>
      <c r="N117" s="198">
        <f>SUM(L117:M117)</f>
        <v>0.89</v>
      </c>
      <c r="O117" s="199">
        <f>SUM(I117,N117)</f>
        <v>1.46</v>
      </c>
      <c r="P117" s="235" t="s">
        <v>259</v>
      </c>
      <c r="Q117" s="446" t="s">
        <v>260</v>
      </c>
      <c r="R117" s="446"/>
      <c r="S117" s="76"/>
      <c r="T117" s="22" t="s">
        <v>54</v>
      </c>
      <c r="U117" s="200">
        <f t="shared" si="40"/>
        <v>1.46</v>
      </c>
      <c r="V117" s="200">
        <f t="shared" si="41"/>
        <v>0.15</v>
      </c>
      <c r="W117" s="197">
        <f t="shared" si="42"/>
        <v>0.55</v>
      </c>
      <c r="X117" s="197">
        <f t="shared" si="43"/>
        <v>0</v>
      </c>
      <c r="Y117" s="197">
        <f t="shared" si="121"/>
        <v>0.02</v>
      </c>
      <c r="Z117" s="201">
        <f t="shared" si="44"/>
        <v>1.6</v>
      </c>
      <c r="AA117" s="202">
        <f t="shared" si="45"/>
        <v>3.7800000000000002</v>
      </c>
      <c r="AB117" s="203">
        <f t="shared" si="46"/>
        <v>1.13</v>
      </c>
      <c r="AC117" s="204">
        <f t="shared" si="47"/>
        <v>4.91</v>
      </c>
      <c r="AD117" s="205">
        <f t="shared" si="48"/>
        <v>0.26</v>
      </c>
      <c r="AE117" s="206">
        <f t="shared" si="49"/>
        <v>5.17</v>
      </c>
      <c r="AF117" s="84"/>
      <c r="AG117" s="235" t="s">
        <v>259</v>
      </c>
      <c r="AH117" s="446" t="s">
        <v>260</v>
      </c>
      <c r="AI117" s="446"/>
      <c r="AJ117" s="78" t="s">
        <v>54</v>
      </c>
      <c r="AK117" s="78"/>
      <c r="AL117" s="207">
        <f t="shared" si="17"/>
        <v>5.17</v>
      </c>
      <c r="AM117" s="207"/>
      <c r="AN117" s="207">
        <f t="shared" si="18"/>
        <v>2.5999999999999996</v>
      </c>
      <c r="AO117" s="19"/>
      <c r="AP117" s="84"/>
      <c r="AQ117" s="235" t="s">
        <v>259</v>
      </c>
      <c r="AR117" s="446" t="s">
        <v>260</v>
      </c>
      <c r="AS117" s="446"/>
      <c r="AT117" s="29">
        <v>5</v>
      </c>
      <c r="AU117" s="214">
        <f t="shared" si="122"/>
        <v>0.0565</v>
      </c>
      <c r="AV117" s="269">
        <f t="shared" si="123"/>
        <v>0.28</v>
      </c>
      <c r="AW117" s="269">
        <f t="shared" si="21"/>
        <v>0</v>
      </c>
      <c r="AX117" s="198">
        <f t="shared" si="124"/>
        <v>0.28</v>
      </c>
      <c r="AY117" s="190">
        <v>10</v>
      </c>
      <c r="AZ117" s="214">
        <f t="shared" si="125"/>
        <v>0.0445</v>
      </c>
      <c r="BA117" s="269">
        <f t="shared" si="126"/>
        <v>0.45</v>
      </c>
      <c r="BB117" s="269">
        <f t="shared" si="25"/>
        <v>0</v>
      </c>
      <c r="BC117" s="198">
        <f t="shared" si="127"/>
        <v>0.45</v>
      </c>
      <c r="BD117" s="199">
        <f t="shared" si="128"/>
        <v>0.73</v>
      </c>
      <c r="BE117" s="235" t="s">
        <v>259</v>
      </c>
      <c r="BF117" s="446" t="s">
        <v>260</v>
      </c>
      <c r="BG117" s="446"/>
      <c r="BH117" s="22" t="s">
        <v>54</v>
      </c>
      <c r="BI117" s="200">
        <f t="shared" si="30"/>
        <v>0.73</v>
      </c>
      <c r="BJ117" s="200">
        <f t="shared" si="31"/>
        <v>0.08</v>
      </c>
      <c r="BK117" s="197">
        <f t="shared" si="32"/>
        <v>0.28</v>
      </c>
      <c r="BL117" s="197">
        <f t="shared" si="33"/>
        <v>0</v>
      </c>
      <c r="BM117" s="197">
        <f>ROUND(SUM(BI117:BJ117)*$AA$20,2)</f>
        <v>0.01</v>
      </c>
      <c r="BN117" s="201">
        <f t="shared" si="34"/>
        <v>0.8</v>
      </c>
      <c r="BO117" s="202">
        <f t="shared" si="35"/>
        <v>1.9</v>
      </c>
      <c r="BP117" s="203">
        <f t="shared" si="36"/>
        <v>0.57</v>
      </c>
      <c r="BQ117" s="204">
        <f t="shared" si="37"/>
        <v>2.4699999999999998</v>
      </c>
      <c r="BR117" s="205">
        <f t="shared" si="38"/>
        <v>0.13</v>
      </c>
      <c r="BS117" s="206">
        <f t="shared" si="39"/>
        <v>2.5999999999999996</v>
      </c>
      <c r="BT117" s="84"/>
    </row>
    <row r="118" spans="1:72" ht="21" customHeight="1">
      <c r="A118" s="84"/>
      <c r="B118" s="235" t="s">
        <v>261</v>
      </c>
      <c r="C118" s="236" t="s">
        <v>262</v>
      </c>
      <c r="D118" s="78" t="s">
        <v>53</v>
      </c>
      <c r="E118" s="190">
        <v>10</v>
      </c>
      <c r="F118" s="214">
        <f t="shared" si="119"/>
        <v>0.0565</v>
      </c>
      <c r="G118" s="197">
        <f>ROUND(E118*F118,2)</f>
        <v>0.57</v>
      </c>
      <c r="H118" s="197">
        <f>ROUND(G118*($A$16+$A$17)/100,2)</f>
        <v>0</v>
      </c>
      <c r="I118" s="198">
        <f>SUM(G118:H118)</f>
        <v>0.57</v>
      </c>
      <c r="J118" s="257">
        <v>20</v>
      </c>
      <c r="K118" s="214">
        <f t="shared" si="120"/>
        <v>0.0445</v>
      </c>
      <c r="L118" s="197">
        <f>ROUND(J118*K118,2)</f>
        <v>0.89</v>
      </c>
      <c r="M118" s="197">
        <f>ROUND(L118*($A$16+$A$17)/100,2)</f>
        <v>0</v>
      </c>
      <c r="N118" s="198">
        <f>SUM(L118:M118)</f>
        <v>0.89</v>
      </c>
      <c r="O118" s="199">
        <f>SUM(I118,N118)</f>
        <v>1.46</v>
      </c>
      <c r="P118" s="235" t="s">
        <v>261</v>
      </c>
      <c r="Q118" s="446" t="s">
        <v>262</v>
      </c>
      <c r="R118" s="446"/>
      <c r="S118" s="76"/>
      <c r="T118" s="22" t="s">
        <v>54</v>
      </c>
      <c r="U118" s="200">
        <f t="shared" si="40"/>
        <v>1.46</v>
      </c>
      <c r="V118" s="200">
        <f t="shared" si="41"/>
        <v>0.15</v>
      </c>
      <c r="W118" s="197">
        <f t="shared" si="42"/>
        <v>0.55</v>
      </c>
      <c r="X118" s="197">
        <f t="shared" si="43"/>
        <v>0</v>
      </c>
      <c r="Y118" s="197">
        <f t="shared" si="121"/>
        <v>0.02</v>
      </c>
      <c r="Z118" s="201">
        <f t="shared" si="44"/>
        <v>1.6</v>
      </c>
      <c r="AA118" s="202">
        <f t="shared" si="45"/>
        <v>3.7800000000000002</v>
      </c>
      <c r="AB118" s="203">
        <f t="shared" si="46"/>
        <v>1.13</v>
      </c>
      <c r="AC118" s="204">
        <f t="shared" si="47"/>
        <v>4.91</v>
      </c>
      <c r="AD118" s="205">
        <f t="shared" si="48"/>
        <v>0.26</v>
      </c>
      <c r="AE118" s="206">
        <f t="shared" si="49"/>
        <v>5.17</v>
      </c>
      <c r="AF118" s="84"/>
      <c r="AG118" s="235" t="s">
        <v>261</v>
      </c>
      <c r="AH118" s="446" t="s">
        <v>262</v>
      </c>
      <c r="AI118" s="446"/>
      <c r="AJ118" s="78" t="s">
        <v>54</v>
      </c>
      <c r="AK118" s="78"/>
      <c r="AL118" s="207">
        <f t="shared" si="17"/>
        <v>5.17</v>
      </c>
      <c r="AM118" s="207"/>
      <c r="AN118" s="207">
        <f t="shared" si="18"/>
        <v>2.5999999999999996</v>
      </c>
      <c r="AO118" s="19"/>
      <c r="AP118" s="84"/>
      <c r="AQ118" s="235" t="s">
        <v>261</v>
      </c>
      <c r="AR118" s="446" t="s">
        <v>262</v>
      </c>
      <c r="AS118" s="446"/>
      <c r="AT118" s="29">
        <v>5</v>
      </c>
      <c r="AU118" s="214">
        <f t="shared" si="122"/>
        <v>0.0565</v>
      </c>
      <c r="AV118" s="269">
        <f t="shared" si="123"/>
        <v>0.28</v>
      </c>
      <c r="AW118" s="269">
        <f t="shared" si="21"/>
        <v>0</v>
      </c>
      <c r="AX118" s="198">
        <f t="shared" si="124"/>
        <v>0.28</v>
      </c>
      <c r="AY118" s="190">
        <v>10</v>
      </c>
      <c r="AZ118" s="214">
        <f t="shared" si="125"/>
        <v>0.0445</v>
      </c>
      <c r="BA118" s="269">
        <f t="shared" si="126"/>
        <v>0.45</v>
      </c>
      <c r="BB118" s="269">
        <f t="shared" si="25"/>
        <v>0</v>
      </c>
      <c r="BC118" s="198">
        <f t="shared" si="127"/>
        <v>0.45</v>
      </c>
      <c r="BD118" s="199">
        <f t="shared" si="128"/>
        <v>0.73</v>
      </c>
      <c r="BE118" s="235" t="s">
        <v>261</v>
      </c>
      <c r="BF118" s="446" t="s">
        <v>262</v>
      </c>
      <c r="BG118" s="446"/>
      <c r="BH118" s="22" t="s">
        <v>54</v>
      </c>
      <c r="BI118" s="200">
        <f t="shared" si="30"/>
        <v>0.73</v>
      </c>
      <c r="BJ118" s="200">
        <f t="shared" si="31"/>
        <v>0.08</v>
      </c>
      <c r="BK118" s="197">
        <f t="shared" si="32"/>
        <v>0.28</v>
      </c>
      <c r="BL118" s="197">
        <f t="shared" si="33"/>
        <v>0</v>
      </c>
      <c r="BM118" s="197">
        <f>ROUND(SUM(BI118:BJ118)*$AA$20,2)</f>
        <v>0.01</v>
      </c>
      <c r="BN118" s="201">
        <f t="shared" si="34"/>
        <v>0.8</v>
      </c>
      <c r="BO118" s="202">
        <f t="shared" si="35"/>
        <v>1.9</v>
      </c>
      <c r="BP118" s="203">
        <f t="shared" si="36"/>
        <v>0.57</v>
      </c>
      <c r="BQ118" s="204">
        <f t="shared" si="37"/>
        <v>2.4699999999999998</v>
      </c>
      <c r="BR118" s="205">
        <f t="shared" si="38"/>
        <v>0.13</v>
      </c>
      <c r="BS118" s="206">
        <f t="shared" si="39"/>
        <v>2.5999999999999996</v>
      </c>
      <c r="BT118" s="84"/>
    </row>
    <row r="119" spans="1:72" ht="19.5" customHeight="1">
      <c r="A119" s="84"/>
      <c r="B119" s="233" t="s">
        <v>263</v>
      </c>
      <c r="C119" s="234" t="s">
        <v>264</v>
      </c>
      <c r="D119" s="251"/>
      <c r="E119" s="255"/>
      <c r="F119" s="256"/>
      <c r="G119" s="253"/>
      <c r="H119" s="253"/>
      <c r="I119" s="254"/>
      <c r="J119" s="257"/>
      <c r="K119" s="255"/>
      <c r="L119" s="253"/>
      <c r="M119" s="253"/>
      <c r="N119" s="254"/>
      <c r="O119" s="220"/>
      <c r="P119" s="233" t="s">
        <v>263</v>
      </c>
      <c r="Q119" s="442" t="s">
        <v>264</v>
      </c>
      <c r="R119" s="442"/>
      <c r="S119" s="76"/>
      <c r="T119" s="219"/>
      <c r="U119" s="253"/>
      <c r="V119" s="253"/>
      <c r="W119" s="253"/>
      <c r="X119" s="253"/>
      <c r="Y119" s="253"/>
      <c r="Z119" s="253"/>
      <c r="AA119" s="253"/>
      <c r="AB119" s="253"/>
      <c r="AC119" s="253"/>
      <c r="AD119" s="253"/>
      <c r="AE119" s="220"/>
      <c r="AF119" s="84"/>
      <c r="AG119" s="233" t="s">
        <v>263</v>
      </c>
      <c r="AH119" s="442" t="s">
        <v>264</v>
      </c>
      <c r="AI119" s="442"/>
      <c r="AJ119" s="78"/>
      <c r="AK119" s="78"/>
      <c r="AL119" s="207"/>
      <c r="AM119" s="207"/>
      <c r="AN119" s="207"/>
      <c r="AO119" s="19"/>
      <c r="AP119" s="84"/>
      <c r="AQ119" s="233" t="s">
        <v>263</v>
      </c>
      <c r="AR119" s="442" t="s">
        <v>264</v>
      </c>
      <c r="AS119" s="442"/>
      <c r="AT119" s="29"/>
      <c r="AU119" s="256"/>
      <c r="AV119" s="254"/>
      <c r="AW119" s="254"/>
      <c r="AX119" s="254"/>
      <c r="AY119" s="255"/>
      <c r="AZ119" s="256"/>
      <c r="BA119" s="254"/>
      <c r="BB119" s="254"/>
      <c r="BC119" s="254"/>
      <c r="BD119" s="220"/>
      <c r="BE119" s="233" t="s">
        <v>263</v>
      </c>
      <c r="BF119" s="442" t="s">
        <v>264</v>
      </c>
      <c r="BG119" s="442"/>
      <c r="BH119" s="219"/>
      <c r="BI119" s="253"/>
      <c r="BJ119" s="253"/>
      <c r="BK119" s="253"/>
      <c r="BL119" s="253"/>
      <c r="BM119" s="253"/>
      <c r="BN119" s="253"/>
      <c r="BO119" s="253"/>
      <c r="BP119" s="253"/>
      <c r="BQ119" s="253"/>
      <c r="BR119" s="253"/>
      <c r="BS119" s="220"/>
      <c r="BT119" s="84"/>
    </row>
    <row r="120" spans="1:72" ht="17.25" customHeight="1">
      <c r="A120" s="84"/>
      <c r="B120" s="235" t="s">
        <v>265</v>
      </c>
      <c r="C120" s="236" t="s">
        <v>266</v>
      </c>
      <c r="D120" s="78" t="s">
        <v>53</v>
      </c>
      <c r="E120" s="190">
        <v>10</v>
      </c>
      <c r="F120" s="214">
        <f t="shared" si="119"/>
        <v>0.0565</v>
      </c>
      <c r="G120" s="197">
        <f aca="true" t="shared" si="129" ref="G120:G127">ROUND(E120*F120,2)</f>
        <v>0.57</v>
      </c>
      <c r="H120" s="197">
        <f>ROUND(G120*($A$16+$A$17)/100,2)</f>
        <v>0</v>
      </c>
      <c r="I120" s="198">
        <f aca="true" t="shared" si="130" ref="I120:I127">SUM(G120:H120)</f>
        <v>0.57</v>
      </c>
      <c r="J120" s="257">
        <v>20</v>
      </c>
      <c r="K120" s="214">
        <f t="shared" si="120"/>
        <v>0.0445</v>
      </c>
      <c r="L120" s="197">
        <f aca="true" t="shared" si="131" ref="L120:L127">ROUND(J120*K120,2)</f>
        <v>0.89</v>
      </c>
      <c r="M120" s="197">
        <f>ROUND(L120*($A$16+$A$17)/100,2)</f>
        <v>0</v>
      </c>
      <c r="N120" s="198">
        <f aca="true" t="shared" si="132" ref="N120:N127">SUM(L120:M120)</f>
        <v>0.89</v>
      </c>
      <c r="O120" s="199">
        <f aca="true" t="shared" si="133" ref="O120:O127">SUM(I120,N120)</f>
        <v>1.46</v>
      </c>
      <c r="P120" s="235" t="s">
        <v>265</v>
      </c>
      <c r="Q120" s="446" t="s">
        <v>266</v>
      </c>
      <c r="R120" s="446"/>
      <c r="S120" s="76"/>
      <c r="T120" s="22" t="s">
        <v>54</v>
      </c>
      <c r="U120" s="200">
        <f t="shared" si="40"/>
        <v>1.46</v>
      </c>
      <c r="V120" s="200">
        <f t="shared" si="41"/>
        <v>0.15</v>
      </c>
      <c r="W120" s="197">
        <f t="shared" si="42"/>
        <v>0.55</v>
      </c>
      <c r="X120" s="197">
        <f t="shared" si="43"/>
        <v>0</v>
      </c>
      <c r="Y120" s="197">
        <f t="shared" si="121"/>
        <v>0.02</v>
      </c>
      <c r="Z120" s="201">
        <f t="shared" si="44"/>
        <v>1.6</v>
      </c>
      <c r="AA120" s="202">
        <f t="shared" si="45"/>
        <v>3.7800000000000002</v>
      </c>
      <c r="AB120" s="203">
        <f t="shared" si="46"/>
        <v>1.13</v>
      </c>
      <c r="AC120" s="204">
        <f t="shared" si="47"/>
        <v>4.91</v>
      </c>
      <c r="AD120" s="205">
        <f t="shared" si="48"/>
        <v>0.26</v>
      </c>
      <c r="AE120" s="206">
        <f t="shared" si="49"/>
        <v>5.17</v>
      </c>
      <c r="AF120" s="84"/>
      <c r="AG120" s="235" t="s">
        <v>265</v>
      </c>
      <c r="AH120" s="446" t="s">
        <v>266</v>
      </c>
      <c r="AI120" s="446"/>
      <c r="AJ120" s="78" t="s">
        <v>54</v>
      </c>
      <c r="AK120" s="78"/>
      <c r="AL120" s="207">
        <f aca="true" t="shared" si="134" ref="AL120:AL198">AE120</f>
        <v>5.17</v>
      </c>
      <c r="AM120" s="207"/>
      <c r="AN120" s="207">
        <f aca="true" t="shared" si="135" ref="AN120:AN198">BS120</f>
        <v>2.5999999999999996</v>
      </c>
      <c r="AO120" s="19"/>
      <c r="AP120" s="84"/>
      <c r="AQ120" s="235" t="s">
        <v>265</v>
      </c>
      <c r="AR120" s="446" t="s">
        <v>266</v>
      </c>
      <c r="AS120" s="446"/>
      <c r="AT120" s="29">
        <v>5</v>
      </c>
      <c r="AU120" s="214">
        <f t="shared" si="122"/>
        <v>0.0565</v>
      </c>
      <c r="AV120" s="269">
        <f t="shared" si="123"/>
        <v>0.28</v>
      </c>
      <c r="AW120" s="269">
        <f aca="true" t="shared" si="136" ref="AW120:AW198">ROUND(AV120*($A$16+$A$17)/100,2)</f>
        <v>0</v>
      </c>
      <c r="AX120" s="198">
        <f t="shared" si="124"/>
        <v>0.28</v>
      </c>
      <c r="AY120" s="190">
        <v>10</v>
      </c>
      <c r="AZ120" s="214">
        <f t="shared" si="125"/>
        <v>0.0445</v>
      </c>
      <c r="BA120" s="269">
        <f t="shared" si="126"/>
        <v>0.45</v>
      </c>
      <c r="BB120" s="269">
        <f aca="true" t="shared" si="137" ref="BB120:BB198">ROUND(BA120*($A$16+$A$17)/100,2)</f>
        <v>0</v>
      </c>
      <c r="BC120" s="198">
        <f t="shared" si="127"/>
        <v>0.45</v>
      </c>
      <c r="BD120" s="199">
        <f t="shared" si="128"/>
        <v>0.73</v>
      </c>
      <c r="BE120" s="235" t="s">
        <v>265</v>
      </c>
      <c r="BF120" s="446" t="s">
        <v>266</v>
      </c>
      <c r="BG120" s="446"/>
      <c r="BH120" s="22" t="s">
        <v>54</v>
      </c>
      <c r="BI120" s="200">
        <f aca="true" t="shared" si="138" ref="BI120:BI160">BD120</f>
        <v>0.73</v>
      </c>
      <c r="BJ120" s="200">
        <f aca="true" t="shared" si="139" ref="BJ120:BJ199">ROUND(BI120*$S$19,2)</f>
        <v>0.08</v>
      </c>
      <c r="BK120" s="197">
        <f aca="true" t="shared" si="140" ref="BK120:BK160">ROUND(SUM(BI120:BJ120)*$AA$19,2)</f>
        <v>0.28</v>
      </c>
      <c r="BL120" s="197">
        <f aca="true" t="shared" si="141" ref="BL120:BL160">ROUND(SUM(BI120:BJ120)*$AA$21,2)</f>
        <v>0</v>
      </c>
      <c r="BM120" s="197">
        <f aca="true" t="shared" si="142" ref="BM120:BM160">ROUND(SUM(BI120:BJ120)*$AA$20,2)</f>
        <v>0.01</v>
      </c>
      <c r="BN120" s="201">
        <f aca="true" t="shared" si="143" ref="BN120:BN160">ROUND(BI120*$S$20,2)</f>
        <v>0.8</v>
      </c>
      <c r="BO120" s="202">
        <f aca="true" t="shared" si="144" ref="BO120:BO160">SUM(BI120:BN120)</f>
        <v>1.9</v>
      </c>
      <c r="BP120" s="203">
        <f aca="true" t="shared" si="145" ref="BP120:BP199">ROUND(BO120*$S$21,2)</f>
        <v>0.57</v>
      </c>
      <c r="BQ120" s="204">
        <f aca="true" t="shared" si="146" ref="BQ120:BQ160">SUM(BO120:BP120)</f>
        <v>2.4699999999999998</v>
      </c>
      <c r="BR120" s="205">
        <f aca="true" t="shared" si="147" ref="BR120:BR199">ROUND(BQ120*$AD$19/95,2)</f>
        <v>0.13</v>
      </c>
      <c r="BS120" s="206">
        <f aca="true" t="shared" si="148" ref="BS120:BS160">SUM(BQ120:BR120)</f>
        <v>2.5999999999999996</v>
      </c>
      <c r="BT120" s="84"/>
    </row>
    <row r="121" spans="1:72" ht="18.75" customHeight="1">
      <c r="A121" s="84"/>
      <c r="B121" s="235" t="s">
        <v>267</v>
      </c>
      <c r="C121" s="236" t="s">
        <v>268</v>
      </c>
      <c r="D121" s="78" t="s">
        <v>53</v>
      </c>
      <c r="E121" s="190">
        <v>10</v>
      </c>
      <c r="F121" s="214">
        <f aca="true" t="shared" si="149" ref="F121:F127">$G$15</f>
        <v>0.0565</v>
      </c>
      <c r="G121" s="197">
        <f t="shared" si="129"/>
        <v>0.57</v>
      </c>
      <c r="H121" s="197">
        <f aca="true" t="shared" si="150" ref="H121:H127">ROUND(G121*($A$16+$A$17)/100,2)</f>
        <v>0</v>
      </c>
      <c r="I121" s="198">
        <f t="shared" si="130"/>
        <v>0.57</v>
      </c>
      <c r="J121" s="257">
        <v>20</v>
      </c>
      <c r="K121" s="214">
        <f aca="true" t="shared" si="151" ref="K121:K127">$G$18</f>
        <v>0.0445</v>
      </c>
      <c r="L121" s="197">
        <f t="shared" si="131"/>
        <v>0.89</v>
      </c>
      <c r="M121" s="197">
        <f aca="true" t="shared" si="152" ref="M121:M127">ROUND(L121*($A$16+$A$17)/100,2)</f>
        <v>0</v>
      </c>
      <c r="N121" s="198">
        <f t="shared" si="132"/>
        <v>0.89</v>
      </c>
      <c r="O121" s="199">
        <f t="shared" si="133"/>
        <v>1.46</v>
      </c>
      <c r="P121" s="235" t="s">
        <v>267</v>
      </c>
      <c r="Q121" s="446" t="s">
        <v>268</v>
      </c>
      <c r="R121" s="446"/>
      <c r="S121" s="76"/>
      <c r="T121" s="22" t="s">
        <v>54</v>
      </c>
      <c r="U121" s="200">
        <f t="shared" si="40"/>
        <v>1.46</v>
      </c>
      <c r="V121" s="200">
        <f t="shared" si="41"/>
        <v>0.15</v>
      </c>
      <c r="W121" s="197">
        <f t="shared" si="42"/>
        <v>0.55</v>
      </c>
      <c r="X121" s="197">
        <f t="shared" si="43"/>
        <v>0</v>
      </c>
      <c r="Y121" s="197">
        <f t="shared" si="121"/>
        <v>0.02</v>
      </c>
      <c r="Z121" s="201">
        <f t="shared" si="44"/>
        <v>1.6</v>
      </c>
      <c r="AA121" s="202">
        <f t="shared" si="45"/>
        <v>3.7800000000000002</v>
      </c>
      <c r="AB121" s="203">
        <f t="shared" si="46"/>
        <v>1.13</v>
      </c>
      <c r="AC121" s="204">
        <f t="shared" si="47"/>
        <v>4.91</v>
      </c>
      <c r="AD121" s="205">
        <f t="shared" si="48"/>
        <v>0.26</v>
      </c>
      <c r="AE121" s="206">
        <f t="shared" si="49"/>
        <v>5.17</v>
      </c>
      <c r="AF121" s="84"/>
      <c r="AG121" s="235" t="s">
        <v>267</v>
      </c>
      <c r="AH121" s="446" t="s">
        <v>268</v>
      </c>
      <c r="AI121" s="446"/>
      <c r="AJ121" s="78" t="s">
        <v>54</v>
      </c>
      <c r="AK121" s="78"/>
      <c r="AL121" s="207">
        <f t="shared" si="134"/>
        <v>5.17</v>
      </c>
      <c r="AM121" s="207"/>
      <c r="AN121" s="207">
        <f t="shared" si="135"/>
        <v>2.5999999999999996</v>
      </c>
      <c r="AO121" s="19"/>
      <c r="AP121" s="84"/>
      <c r="AQ121" s="235" t="s">
        <v>267</v>
      </c>
      <c r="AR121" s="446" t="s">
        <v>268</v>
      </c>
      <c r="AS121" s="446"/>
      <c r="AT121" s="29">
        <v>5</v>
      </c>
      <c r="AU121" s="214">
        <f t="shared" si="122"/>
        <v>0.0565</v>
      </c>
      <c r="AV121" s="269">
        <f t="shared" si="123"/>
        <v>0.28</v>
      </c>
      <c r="AW121" s="269">
        <f t="shared" si="136"/>
        <v>0</v>
      </c>
      <c r="AX121" s="198">
        <f t="shared" si="124"/>
        <v>0.28</v>
      </c>
      <c r="AY121" s="190">
        <v>10</v>
      </c>
      <c r="AZ121" s="214">
        <f t="shared" si="125"/>
        <v>0.0445</v>
      </c>
      <c r="BA121" s="269">
        <f t="shared" si="126"/>
        <v>0.45</v>
      </c>
      <c r="BB121" s="269">
        <f t="shared" si="137"/>
        <v>0</v>
      </c>
      <c r="BC121" s="198">
        <f t="shared" si="127"/>
        <v>0.45</v>
      </c>
      <c r="BD121" s="199">
        <f t="shared" si="128"/>
        <v>0.73</v>
      </c>
      <c r="BE121" s="235" t="s">
        <v>267</v>
      </c>
      <c r="BF121" s="446" t="s">
        <v>268</v>
      </c>
      <c r="BG121" s="446"/>
      <c r="BH121" s="22" t="s">
        <v>54</v>
      </c>
      <c r="BI121" s="200">
        <f t="shared" si="138"/>
        <v>0.73</v>
      </c>
      <c r="BJ121" s="200">
        <f t="shared" si="139"/>
        <v>0.08</v>
      </c>
      <c r="BK121" s="197">
        <f t="shared" si="140"/>
        <v>0.28</v>
      </c>
      <c r="BL121" s="197">
        <f t="shared" si="141"/>
        <v>0</v>
      </c>
      <c r="BM121" s="197">
        <f t="shared" si="142"/>
        <v>0.01</v>
      </c>
      <c r="BN121" s="201">
        <f t="shared" si="143"/>
        <v>0.8</v>
      </c>
      <c r="BO121" s="202">
        <f t="shared" si="144"/>
        <v>1.9</v>
      </c>
      <c r="BP121" s="203">
        <f t="shared" si="145"/>
        <v>0.57</v>
      </c>
      <c r="BQ121" s="204">
        <f t="shared" si="146"/>
        <v>2.4699999999999998</v>
      </c>
      <c r="BR121" s="205">
        <f t="shared" si="147"/>
        <v>0.13</v>
      </c>
      <c r="BS121" s="206">
        <f t="shared" si="148"/>
        <v>2.5999999999999996</v>
      </c>
      <c r="BT121" s="84"/>
    </row>
    <row r="122" spans="1:72" ht="19.5" customHeight="1">
      <c r="A122" s="84"/>
      <c r="B122" s="235" t="s">
        <v>269</v>
      </c>
      <c r="C122" s="236" t="s">
        <v>270</v>
      </c>
      <c r="D122" s="78" t="s">
        <v>53</v>
      </c>
      <c r="E122" s="190">
        <v>10</v>
      </c>
      <c r="F122" s="214">
        <f t="shared" si="149"/>
        <v>0.0565</v>
      </c>
      <c r="G122" s="197">
        <f t="shared" si="129"/>
        <v>0.57</v>
      </c>
      <c r="H122" s="197">
        <f t="shared" si="150"/>
        <v>0</v>
      </c>
      <c r="I122" s="198">
        <f t="shared" si="130"/>
        <v>0.57</v>
      </c>
      <c r="J122" s="257">
        <v>20</v>
      </c>
      <c r="K122" s="214">
        <f t="shared" si="151"/>
        <v>0.0445</v>
      </c>
      <c r="L122" s="197">
        <f t="shared" si="131"/>
        <v>0.89</v>
      </c>
      <c r="M122" s="197">
        <f t="shared" si="152"/>
        <v>0</v>
      </c>
      <c r="N122" s="198">
        <f t="shared" si="132"/>
        <v>0.89</v>
      </c>
      <c r="O122" s="199">
        <f t="shared" si="133"/>
        <v>1.46</v>
      </c>
      <c r="P122" s="235" t="s">
        <v>269</v>
      </c>
      <c r="Q122" s="446" t="s">
        <v>270</v>
      </c>
      <c r="R122" s="446"/>
      <c r="S122" s="76"/>
      <c r="T122" s="22" t="s">
        <v>54</v>
      </c>
      <c r="U122" s="200">
        <f t="shared" si="40"/>
        <v>1.46</v>
      </c>
      <c r="V122" s="200">
        <f t="shared" si="41"/>
        <v>0.15</v>
      </c>
      <c r="W122" s="197">
        <f t="shared" si="42"/>
        <v>0.55</v>
      </c>
      <c r="X122" s="197">
        <f t="shared" si="43"/>
        <v>0</v>
      </c>
      <c r="Y122" s="197">
        <f t="shared" si="121"/>
        <v>0.02</v>
      </c>
      <c r="Z122" s="201">
        <f t="shared" si="44"/>
        <v>1.6</v>
      </c>
      <c r="AA122" s="202">
        <f t="shared" si="45"/>
        <v>3.7800000000000002</v>
      </c>
      <c r="AB122" s="203">
        <f t="shared" si="46"/>
        <v>1.13</v>
      </c>
      <c r="AC122" s="204">
        <f t="shared" si="47"/>
        <v>4.91</v>
      </c>
      <c r="AD122" s="205">
        <f t="shared" si="48"/>
        <v>0.26</v>
      </c>
      <c r="AE122" s="206">
        <f t="shared" si="49"/>
        <v>5.17</v>
      </c>
      <c r="AF122" s="84"/>
      <c r="AG122" s="235" t="s">
        <v>269</v>
      </c>
      <c r="AH122" s="446" t="s">
        <v>270</v>
      </c>
      <c r="AI122" s="446"/>
      <c r="AJ122" s="78" t="s">
        <v>54</v>
      </c>
      <c r="AK122" s="78"/>
      <c r="AL122" s="207">
        <f t="shared" si="134"/>
        <v>5.17</v>
      </c>
      <c r="AM122" s="207"/>
      <c r="AN122" s="207">
        <f t="shared" si="135"/>
        <v>2.5999999999999996</v>
      </c>
      <c r="AO122" s="19"/>
      <c r="AP122" s="84"/>
      <c r="AQ122" s="235" t="s">
        <v>269</v>
      </c>
      <c r="AR122" s="446" t="s">
        <v>270</v>
      </c>
      <c r="AS122" s="446"/>
      <c r="AT122" s="29">
        <v>5</v>
      </c>
      <c r="AU122" s="214">
        <f t="shared" si="122"/>
        <v>0.0565</v>
      </c>
      <c r="AV122" s="269">
        <f t="shared" si="123"/>
        <v>0.28</v>
      </c>
      <c r="AW122" s="269">
        <f t="shared" si="136"/>
        <v>0</v>
      </c>
      <c r="AX122" s="198">
        <f t="shared" si="124"/>
        <v>0.28</v>
      </c>
      <c r="AY122" s="190">
        <v>10</v>
      </c>
      <c r="AZ122" s="214">
        <f t="shared" si="125"/>
        <v>0.0445</v>
      </c>
      <c r="BA122" s="269">
        <f t="shared" si="126"/>
        <v>0.45</v>
      </c>
      <c r="BB122" s="269">
        <f t="shared" si="137"/>
        <v>0</v>
      </c>
      <c r="BC122" s="198">
        <f t="shared" si="127"/>
        <v>0.45</v>
      </c>
      <c r="BD122" s="199">
        <f t="shared" si="128"/>
        <v>0.73</v>
      </c>
      <c r="BE122" s="235" t="s">
        <v>269</v>
      </c>
      <c r="BF122" s="446" t="s">
        <v>270</v>
      </c>
      <c r="BG122" s="446"/>
      <c r="BH122" s="22" t="s">
        <v>54</v>
      </c>
      <c r="BI122" s="200">
        <f t="shared" si="138"/>
        <v>0.73</v>
      </c>
      <c r="BJ122" s="200">
        <f t="shared" si="139"/>
        <v>0.08</v>
      </c>
      <c r="BK122" s="197">
        <f t="shared" si="140"/>
        <v>0.28</v>
      </c>
      <c r="BL122" s="197">
        <f t="shared" si="141"/>
        <v>0</v>
      </c>
      <c r="BM122" s="197">
        <f t="shared" si="142"/>
        <v>0.01</v>
      </c>
      <c r="BN122" s="201">
        <f t="shared" si="143"/>
        <v>0.8</v>
      </c>
      <c r="BO122" s="202">
        <f t="shared" si="144"/>
        <v>1.9</v>
      </c>
      <c r="BP122" s="203">
        <f t="shared" si="145"/>
        <v>0.57</v>
      </c>
      <c r="BQ122" s="204">
        <f t="shared" si="146"/>
        <v>2.4699999999999998</v>
      </c>
      <c r="BR122" s="205">
        <f t="shared" si="147"/>
        <v>0.13</v>
      </c>
      <c r="BS122" s="206">
        <f t="shared" si="148"/>
        <v>2.5999999999999996</v>
      </c>
      <c r="BT122" s="84"/>
    </row>
    <row r="123" spans="1:72" ht="18.75" customHeight="1">
      <c r="A123" s="84"/>
      <c r="B123" s="235" t="s">
        <v>271</v>
      </c>
      <c r="C123" s="236" t="s">
        <v>272</v>
      </c>
      <c r="D123" s="78" t="s">
        <v>53</v>
      </c>
      <c r="E123" s="190">
        <v>10</v>
      </c>
      <c r="F123" s="214">
        <f t="shared" si="149"/>
        <v>0.0565</v>
      </c>
      <c r="G123" s="197">
        <f t="shared" si="129"/>
        <v>0.57</v>
      </c>
      <c r="H123" s="197">
        <f t="shared" si="150"/>
        <v>0</v>
      </c>
      <c r="I123" s="198">
        <f t="shared" si="130"/>
        <v>0.57</v>
      </c>
      <c r="J123" s="257">
        <v>35</v>
      </c>
      <c r="K123" s="214">
        <f t="shared" si="151"/>
        <v>0.0445</v>
      </c>
      <c r="L123" s="197">
        <f t="shared" si="131"/>
        <v>1.56</v>
      </c>
      <c r="M123" s="197">
        <f t="shared" si="152"/>
        <v>0</v>
      </c>
      <c r="N123" s="198">
        <f t="shared" si="132"/>
        <v>1.56</v>
      </c>
      <c r="O123" s="199">
        <f t="shared" si="133"/>
        <v>2.13</v>
      </c>
      <c r="P123" s="235" t="s">
        <v>271</v>
      </c>
      <c r="Q123" s="446" t="s">
        <v>272</v>
      </c>
      <c r="R123" s="446"/>
      <c r="S123" s="76"/>
      <c r="T123" s="22" t="s">
        <v>54</v>
      </c>
      <c r="U123" s="200">
        <f t="shared" si="40"/>
        <v>2.13</v>
      </c>
      <c r="V123" s="200">
        <f t="shared" si="41"/>
        <v>0.22</v>
      </c>
      <c r="W123" s="197">
        <f t="shared" si="42"/>
        <v>0.8</v>
      </c>
      <c r="X123" s="197">
        <f t="shared" si="43"/>
        <v>0</v>
      </c>
      <c r="Y123" s="197">
        <f t="shared" si="121"/>
        <v>0.04</v>
      </c>
      <c r="Z123" s="201">
        <f t="shared" si="44"/>
        <v>2.34</v>
      </c>
      <c r="AA123" s="202">
        <f t="shared" si="45"/>
        <v>5.53</v>
      </c>
      <c r="AB123" s="203">
        <f t="shared" si="46"/>
        <v>1.66</v>
      </c>
      <c r="AC123" s="204">
        <f t="shared" si="47"/>
        <v>7.19</v>
      </c>
      <c r="AD123" s="205">
        <f t="shared" si="48"/>
        <v>0.38</v>
      </c>
      <c r="AE123" s="206">
        <f t="shared" si="49"/>
        <v>7.57</v>
      </c>
      <c r="AF123" s="84"/>
      <c r="AG123" s="235" t="s">
        <v>271</v>
      </c>
      <c r="AH123" s="446" t="s">
        <v>272</v>
      </c>
      <c r="AI123" s="446"/>
      <c r="AJ123" s="78" t="s">
        <v>54</v>
      </c>
      <c r="AK123" s="78"/>
      <c r="AL123" s="207">
        <f t="shared" si="134"/>
        <v>7.57</v>
      </c>
      <c r="AM123" s="207"/>
      <c r="AN123" s="207">
        <f t="shared" si="135"/>
        <v>5.17</v>
      </c>
      <c r="AO123" s="19"/>
      <c r="AP123" s="84"/>
      <c r="AQ123" s="235" t="s">
        <v>271</v>
      </c>
      <c r="AR123" s="446" t="s">
        <v>272</v>
      </c>
      <c r="AS123" s="446"/>
      <c r="AT123" s="29">
        <v>10</v>
      </c>
      <c r="AU123" s="214">
        <f t="shared" si="122"/>
        <v>0.0565</v>
      </c>
      <c r="AV123" s="269">
        <f t="shared" si="123"/>
        <v>0.57</v>
      </c>
      <c r="AW123" s="269">
        <f t="shared" si="136"/>
        <v>0</v>
      </c>
      <c r="AX123" s="198">
        <f t="shared" si="124"/>
        <v>0.57</v>
      </c>
      <c r="AY123" s="190">
        <v>20</v>
      </c>
      <c r="AZ123" s="214">
        <f t="shared" si="125"/>
        <v>0.0445</v>
      </c>
      <c r="BA123" s="269">
        <f t="shared" si="126"/>
        <v>0.89</v>
      </c>
      <c r="BB123" s="269">
        <f t="shared" si="137"/>
        <v>0</v>
      </c>
      <c r="BC123" s="198">
        <f t="shared" si="127"/>
        <v>0.89</v>
      </c>
      <c r="BD123" s="199">
        <f t="shared" si="128"/>
        <v>1.46</v>
      </c>
      <c r="BE123" s="235" t="s">
        <v>271</v>
      </c>
      <c r="BF123" s="446" t="s">
        <v>272</v>
      </c>
      <c r="BG123" s="446"/>
      <c r="BH123" s="22" t="s">
        <v>54</v>
      </c>
      <c r="BI123" s="200">
        <f t="shared" si="138"/>
        <v>1.46</v>
      </c>
      <c r="BJ123" s="200">
        <f t="shared" si="139"/>
        <v>0.15</v>
      </c>
      <c r="BK123" s="197">
        <f t="shared" si="140"/>
        <v>0.55</v>
      </c>
      <c r="BL123" s="197">
        <f t="shared" si="141"/>
        <v>0</v>
      </c>
      <c r="BM123" s="197">
        <f t="shared" si="142"/>
        <v>0.02</v>
      </c>
      <c r="BN123" s="201">
        <f t="shared" si="143"/>
        <v>1.6</v>
      </c>
      <c r="BO123" s="202">
        <f t="shared" si="144"/>
        <v>3.7800000000000002</v>
      </c>
      <c r="BP123" s="203">
        <f t="shared" si="145"/>
        <v>1.13</v>
      </c>
      <c r="BQ123" s="204">
        <f t="shared" si="146"/>
        <v>4.91</v>
      </c>
      <c r="BR123" s="205">
        <f t="shared" si="147"/>
        <v>0.26</v>
      </c>
      <c r="BS123" s="206">
        <f t="shared" si="148"/>
        <v>5.17</v>
      </c>
      <c r="BT123" s="84"/>
    </row>
    <row r="124" spans="1:72" ht="19.5" customHeight="1">
      <c r="A124" s="84"/>
      <c r="B124" s="235" t="s">
        <v>273</v>
      </c>
      <c r="C124" s="236" t="s">
        <v>274</v>
      </c>
      <c r="D124" s="78" t="s">
        <v>53</v>
      </c>
      <c r="E124" s="190">
        <v>10</v>
      </c>
      <c r="F124" s="214">
        <f t="shared" si="149"/>
        <v>0.0565</v>
      </c>
      <c r="G124" s="197">
        <f t="shared" si="129"/>
        <v>0.57</v>
      </c>
      <c r="H124" s="197">
        <f t="shared" si="150"/>
        <v>0</v>
      </c>
      <c r="I124" s="198">
        <f t="shared" si="130"/>
        <v>0.57</v>
      </c>
      <c r="J124" s="257">
        <v>20</v>
      </c>
      <c r="K124" s="214">
        <f t="shared" si="151"/>
        <v>0.0445</v>
      </c>
      <c r="L124" s="197">
        <f t="shared" si="131"/>
        <v>0.89</v>
      </c>
      <c r="M124" s="197">
        <f t="shared" si="152"/>
        <v>0</v>
      </c>
      <c r="N124" s="198">
        <f t="shared" si="132"/>
        <v>0.89</v>
      </c>
      <c r="O124" s="199">
        <f t="shared" si="133"/>
        <v>1.46</v>
      </c>
      <c r="P124" s="235" t="s">
        <v>273</v>
      </c>
      <c r="Q124" s="446" t="s">
        <v>274</v>
      </c>
      <c r="R124" s="446"/>
      <c r="S124" s="76"/>
      <c r="T124" s="22" t="s">
        <v>54</v>
      </c>
      <c r="U124" s="200">
        <f t="shared" si="40"/>
        <v>1.46</v>
      </c>
      <c r="V124" s="200">
        <f t="shared" si="41"/>
        <v>0.15</v>
      </c>
      <c r="W124" s="197">
        <f t="shared" si="42"/>
        <v>0.55</v>
      </c>
      <c r="X124" s="197">
        <f t="shared" si="43"/>
        <v>0</v>
      </c>
      <c r="Y124" s="197">
        <f t="shared" si="121"/>
        <v>0.02</v>
      </c>
      <c r="Z124" s="201">
        <f t="shared" si="44"/>
        <v>1.6</v>
      </c>
      <c r="AA124" s="202">
        <f t="shared" si="45"/>
        <v>3.7800000000000002</v>
      </c>
      <c r="AB124" s="203">
        <f t="shared" si="46"/>
        <v>1.13</v>
      </c>
      <c r="AC124" s="204">
        <f t="shared" si="47"/>
        <v>4.91</v>
      </c>
      <c r="AD124" s="205">
        <f t="shared" si="48"/>
        <v>0.26</v>
      </c>
      <c r="AE124" s="206">
        <f t="shared" si="49"/>
        <v>5.17</v>
      </c>
      <c r="AF124" s="84"/>
      <c r="AG124" s="235" t="s">
        <v>273</v>
      </c>
      <c r="AH124" s="446" t="s">
        <v>274</v>
      </c>
      <c r="AI124" s="446"/>
      <c r="AJ124" s="78" t="s">
        <v>54</v>
      </c>
      <c r="AK124" s="78"/>
      <c r="AL124" s="207">
        <f t="shared" si="134"/>
        <v>5.17</v>
      </c>
      <c r="AM124" s="207"/>
      <c r="AN124" s="207">
        <f t="shared" si="135"/>
        <v>2.5999999999999996</v>
      </c>
      <c r="AO124" s="19"/>
      <c r="AP124" s="84"/>
      <c r="AQ124" s="235" t="s">
        <v>273</v>
      </c>
      <c r="AR124" s="446" t="s">
        <v>274</v>
      </c>
      <c r="AS124" s="446"/>
      <c r="AT124" s="29">
        <v>5</v>
      </c>
      <c r="AU124" s="214">
        <f t="shared" si="122"/>
        <v>0.0565</v>
      </c>
      <c r="AV124" s="269">
        <f t="shared" si="123"/>
        <v>0.28</v>
      </c>
      <c r="AW124" s="269">
        <f t="shared" si="136"/>
        <v>0</v>
      </c>
      <c r="AX124" s="198">
        <f t="shared" si="124"/>
        <v>0.28</v>
      </c>
      <c r="AY124" s="190">
        <v>10</v>
      </c>
      <c r="AZ124" s="214">
        <f t="shared" si="125"/>
        <v>0.0445</v>
      </c>
      <c r="BA124" s="269">
        <f t="shared" si="126"/>
        <v>0.45</v>
      </c>
      <c r="BB124" s="269">
        <f t="shared" si="137"/>
        <v>0</v>
      </c>
      <c r="BC124" s="198">
        <f t="shared" si="127"/>
        <v>0.45</v>
      </c>
      <c r="BD124" s="199">
        <f t="shared" si="128"/>
        <v>0.73</v>
      </c>
      <c r="BE124" s="235" t="s">
        <v>273</v>
      </c>
      <c r="BF124" s="446" t="s">
        <v>274</v>
      </c>
      <c r="BG124" s="446"/>
      <c r="BH124" s="22" t="s">
        <v>54</v>
      </c>
      <c r="BI124" s="200">
        <f t="shared" si="138"/>
        <v>0.73</v>
      </c>
      <c r="BJ124" s="200">
        <f t="shared" si="139"/>
        <v>0.08</v>
      </c>
      <c r="BK124" s="197">
        <f t="shared" si="140"/>
        <v>0.28</v>
      </c>
      <c r="BL124" s="197">
        <f t="shared" si="141"/>
        <v>0</v>
      </c>
      <c r="BM124" s="197">
        <f t="shared" si="142"/>
        <v>0.01</v>
      </c>
      <c r="BN124" s="201">
        <f t="shared" si="143"/>
        <v>0.8</v>
      </c>
      <c r="BO124" s="202">
        <f t="shared" si="144"/>
        <v>1.9</v>
      </c>
      <c r="BP124" s="203">
        <f t="shared" si="145"/>
        <v>0.57</v>
      </c>
      <c r="BQ124" s="204">
        <f t="shared" si="146"/>
        <v>2.4699999999999998</v>
      </c>
      <c r="BR124" s="205">
        <f t="shared" si="147"/>
        <v>0.13</v>
      </c>
      <c r="BS124" s="206">
        <f t="shared" si="148"/>
        <v>2.5999999999999996</v>
      </c>
      <c r="BT124" s="84"/>
    </row>
    <row r="125" spans="1:72" ht="19.5" customHeight="1">
      <c r="A125" s="84"/>
      <c r="B125" s="235" t="s">
        <v>275</v>
      </c>
      <c r="C125" s="236" t="s">
        <v>276</v>
      </c>
      <c r="D125" s="78" t="s">
        <v>53</v>
      </c>
      <c r="E125" s="190">
        <v>15</v>
      </c>
      <c r="F125" s="214">
        <f t="shared" si="149"/>
        <v>0.0565</v>
      </c>
      <c r="G125" s="197">
        <f t="shared" si="129"/>
        <v>0.85</v>
      </c>
      <c r="H125" s="197">
        <f t="shared" si="150"/>
        <v>0</v>
      </c>
      <c r="I125" s="198">
        <f t="shared" si="130"/>
        <v>0.85</v>
      </c>
      <c r="J125" s="257">
        <v>20</v>
      </c>
      <c r="K125" s="214">
        <f t="shared" si="151"/>
        <v>0.0445</v>
      </c>
      <c r="L125" s="197">
        <f t="shared" si="131"/>
        <v>0.89</v>
      </c>
      <c r="M125" s="197">
        <f t="shared" si="152"/>
        <v>0</v>
      </c>
      <c r="N125" s="198">
        <f t="shared" si="132"/>
        <v>0.89</v>
      </c>
      <c r="O125" s="199">
        <f t="shared" si="133"/>
        <v>1.74</v>
      </c>
      <c r="P125" s="235" t="s">
        <v>275</v>
      </c>
      <c r="Q125" s="446" t="s">
        <v>276</v>
      </c>
      <c r="R125" s="446"/>
      <c r="S125" s="76"/>
      <c r="T125" s="22" t="s">
        <v>54</v>
      </c>
      <c r="U125" s="200">
        <f>O125</f>
        <v>1.74</v>
      </c>
      <c r="V125" s="200">
        <f>ROUND(U125*$S$19,2)</f>
        <v>0.18</v>
      </c>
      <c r="W125" s="197">
        <f>ROUND(SUM(U125:V125)*$AA$19,2)</f>
        <v>0.65</v>
      </c>
      <c r="X125" s="197">
        <f>ROUND(SUM(U125:V125)*$AA$21,2)</f>
        <v>0</v>
      </c>
      <c r="Y125" s="197">
        <f>ROUND(SUM(U125:V125)*$AA$20,2)</f>
        <v>0.03</v>
      </c>
      <c r="Z125" s="201">
        <f>ROUND(U125*$S$20,2)</f>
        <v>1.91</v>
      </c>
      <c r="AA125" s="202">
        <f>SUM(U125:Z125)</f>
        <v>4.51</v>
      </c>
      <c r="AB125" s="203">
        <f>ROUND(AA125*$S$21,2)</f>
        <v>1.35</v>
      </c>
      <c r="AC125" s="204">
        <f>SUM(AA125:AB125)</f>
        <v>5.859999999999999</v>
      </c>
      <c r="AD125" s="205">
        <f>ROUND(AC125*$AD$19/95,2)</f>
        <v>0.31</v>
      </c>
      <c r="AE125" s="206">
        <f>SUM(AC125:AD125)</f>
        <v>6.169999999999999</v>
      </c>
      <c r="AF125" s="84"/>
      <c r="AG125" s="235" t="s">
        <v>275</v>
      </c>
      <c r="AH125" s="446" t="s">
        <v>276</v>
      </c>
      <c r="AI125" s="446"/>
      <c r="AJ125" s="78" t="s">
        <v>54</v>
      </c>
      <c r="AK125" s="78"/>
      <c r="AL125" s="207">
        <f t="shared" si="134"/>
        <v>6.169999999999999</v>
      </c>
      <c r="AM125" s="207"/>
      <c r="AN125" s="207">
        <f t="shared" si="135"/>
        <v>3.6300000000000003</v>
      </c>
      <c r="AO125" s="19"/>
      <c r="AP125" s="84"/>
      <c r="AQ125" s="235" t="s">
        <v>275</v>
      </c>
      <c r="AR125" s="446" t="s">
        <v>276</v>
      </c>
      <c r="AS125" s="446"/>
      <c r="AT125" s="29">
        <v>10</v>
      </c>
      <c r="AU125" s="214">
        <f t="shared" si="122"/>
        <v>0.0565</v>
      </c>
      <c r="AV125" s="269">
        <f t="shared" si="123"/>
        <v>0.57</v>
      </c>
      <c r="AW125" s="269">
        <f t="shared" si="136"/>
        <v>0</v>
      </c>
      <c r="AX125" s="198">
        <f t="shared" si="124"/>
        <v>0.57</v>
      </c>
      <c r="AY125" s="190">
        <v>10</v>
      </c>
      <c r="AZ125" s="214">
        <f t="shared" si="125"/>
        <v>0.0445</v>
      </c>
      <c r="BA125" s="269">
        <f t="shared" si="126"/>
        <v>0.45</v>
      </c>
      <c r="BB125" s="269">
        <f t="shared" si="137"/>
        <v>0</v>
      </c>
      <c r="BC125" s="198">
        <f t="shared" si="127"/>
        <v>0.45</v>
      </c>
      <c r="BD125" s="199">
        <f t="shared" si="128"/>
        <v>1.02</v>
      </c>
      <c r="BE125" s="235" t="s">
        <v>275</v>
      </c>
      <c r="BF125" s="446" t="s">
        <v>276</v>
      </c>
      <c r="BG125" s="446"/>
      <c r="BH125" s="22" t="s">
        <v>54</v>
      </c>
      <c r="BI125" s="200">
        <f t="shared" si="138"/>
        <v>1.02</v>
      </c>
      <c r="BJ125" s="200">
        <f t="shared" si="139"/>
        <v>0.11</v>
      </c>
      <c r="BK125" s="197">
        <f t="shared" si="140"/>
        <v>0.38</v>
      </c>
      <c r="BL125" s="197">
        <f t="shared" si="141"/>
        <v>0</v>
      </c>
      <c r="BM125" s="197">
        <f t="shared" si="142"/>
        <v>0.02</v>
      </c>
      <c r="BN125" s="201">
        <f t="shared" si="143"/>
        <v>1.12</v>
      </c>
      <c r="BO125" s="202">
        <f t="shared" si="144"/>
        <v>2.6500000000000004</v>
      </c>
      <c r="BP125" s="203">
        <f t="shared" si="145"/>
        <v>0.8</v>
      </c>
      <c r="BQ125" s="204">
        <f t="shared" si="146"/>
        <v>3.45</v>
      </c>
      <c r="BR125" s="205">
        <f t="shared" si="147"/>
        <v>0.18</v>
      </c>
      <c r="BS125" s="206">
        <f t="shared" si="148"/>
        <v>3.6300000000000003</v>
      </c>
      <c r="BT125" s="84"/>
    </row>
    <row r="126" spans="1:72" ht="12.75">
      <c r="A126" s="84"/>
      <c r="B126" s="235" t="s">
        <v>277</v>
      </c>
      <c r="C126" s="236" t="s">
        <v>278</v>
      </c>
      <c r="D126" s="78" t="s">
        <v>53</v>
      </c>
      <c r="E126" s="190">
        <v>15</v>
      </c>
      <c r="F126" s="214">
        <f t="shared" si="149"/>
        <v>0.0565</v>
      </c>
      <c r="G126" s="197">
        <f t="shared" si="129"/>
        <v>0.85</v>
      </c>
      <c r="H126" s="197">
        <f t="shared" si="150"/>
        <v>0</v>
      </c>
      <c r="I126" s="198">
        <f t="shared" si="130"/>
        <v>0.85</v>
      </c>
      <c r="J126" s="257">
        <v>20</v>
      </c>
      <c r="K126" s="214">
        <f t="shared" si="151"/>
        <v>0.0445</v>
      </c>
      <c r="L126" s="197">
        <f t="shared" si="131"/>
        <v>0.89</v>
      </c>
      <c r="M126" s="197">
        <f t="shared" si="152"/>
        <v>0</v>
      </c>
      <c r="N126" s="198">
        <f t="shared" si="132"/>
        <v>0.89</v>
      </c>
      <c r="O126" s="199">
        <f t="shared" si="133"/>
        <v>1.74</v>
      </c>
      <c r="P126" s="235" t="s">
        <v>277</v>
      </c>
      <c r="Q126" s="446" t="s">
        <v>278</v>
      </c>
      <c r="R126" s="446"/>
      <c r="S126" s="76"/>
      <c r="T126" s="22" t="s">
        <v>54</v>
      </c>
      <c r="U126" s="200">
        <f>O126</f>
        <v>1.74</v>
      </c>
      <c r="V126" s="200">
        <f>ROUND(U126*$S$19,2)</f>
        <v>0.18</v>
      </c>
      <c r="W126" s="197">
        <f>ROUND(SUM(U126:V126)*$AA$19,2)</f>
        <v>0.65</v>
      </c>
      <c r="X126" s="197">
        <f>ROUND(SUM(U126:V126)*$AA$21,2)</f>
        <v>0</v>
      </c>
      <c r="Y126" s="197">
        <f>ROUND(SUM(U126:V126)*$AA$20,2)</f>
        <v>0.03</v>
      </c>
      <c r="Z126" s="201">
        <f>ROUND(U126*$S$20,2)</f>
        <v>1.91</v>
      </c>
      <c r="AA126" s="202">
        <f>SUM(U126:Z126)</f>
        <v>4.51</v>
      </c>
      <c r="AB126" s="203">
        <f>ROUND(AA126*$S$21,2)</f>
        <v>1.35</v>
      </c>
      <c r="AC126" s="204">
        <f>SUM(AA126:AB126)</f>
        <v>5.859999999999999</v>
      </c>
      <c r="AD126" s="205">
        <f>ROUND(AC126*$AD$19/95,2)</f>
        <v>0.31</v>
      </c>
      <c r="AE126" s="206">
        <f>SUM(AC126:AD126)</f>
        <v>6.169999999999999</v>
      </c>
      <c r="AF126" s="84"/>
      <c r="AG126" s="235" t="s">
        <v>277</v>
      </c>
      <c r="AH126" s="446" t="s">
        <v>278</v>
      </c>
      <c r="AI126" s="446"/>
      <c r="AJ126" s="78"/>
      <c r="AK126" s="78"/>
      <c r="AL126" s="207">
        <f t="shared" si="134"/>
        <v>6.169999999999999</v>
      </c>
      <c r="AM126" s="207"/>
      <c r="AN126" s="207">
        <f t="shared" si="135"/>
        <v>3.6300000000000003</v>
      </c>
      <c r="AO126" s="19"/>
      <c r="AP126" s="84"/>
      <c r="AQ126" s="235" t="s">
        <v>277</v>
      </c>
      <c r="AR126" s="446" t="s">
        <v>278</v>
      </c>
      <c r="AS126" s="446"/>
      <c r="AT126" s="29">
        <v>10</v>
      </c>
      <c r="AU126" s="214">
        <f t="shared" si="122"/>
        <v>0.0565</v>
      </c>
      <c r="AV126" s="269">
        <f t="shared" si="123"/>
        <v>0.57</v>
      </c>
      <c r="AW126" s="269">
        <f t="shared" si="136"/>
        <v>0</v>
      </c>
      <c r="AX126" s="198">
        <f t="shared" si="124"/>
        <v>0.57</v>
      </c>
      <c r="AY126" s="190">
        <v>10</v>
      </c>
      <c r="AZ126" s="214">
        <f t="shared" si="125"/>
        <v>0.0445</v>
      </c>
      <c r="BA126" s="269">
        <f t="shared" si="126"/>
        <v>0.45</v>
      </c>
      <c r="BB126" s="269">
        <f t="shared" si="137"/>
        <v>0</v>
      </c>
      <c r="BC126" s="198">
        <f t="shared" si="127"/>
        <v>0.45</v>
      </c>
      <c r="BD126" s="199">
        <f t="shared" si="128"/>
        <v>1.02</v>
      </c>
      <c r="BE126" s="235" t="s">
        <v>277</v>
      </c>
      <c r="BF126" s="446" t="s">
        <v>278</v>
      </c>
      <c r="BG126" s="446"/>
      <c r="BH126" s="22"/>
      <c r="BI126" s="200">
        <f t="shared" si="138"/>
        <v>1.02</v>
      </c>
      <c r="BJ126" s="200">
        <f t="shared" si="139"/>
        <v>0.11</v>
      </c>
      <c r="BK126" s="197">
        <f t="shared" si="140"/>
        <v>0.38</v>
      </c>
      <c r="BL126" s="197">
        <f t="shared" si="141"/>
        <v>0</v>
      </c>
      <c r="BM126" s="197">
        <f t="shared" si="142"/>
        <v>0.02</v>
      </c>
      <c r="BN126" s="201">
        <f t="shared" si="143"/>
        <v>1.12</v>
      </c>
      <c r="BO126" s="202">
        <f t="shared" si="144"/>
        <v>2.6500000000000004</v>
      </c>
      <c r="BP126" s="203">
        <f t="shared" si="145"/>
        <v>0.8</v>
      </c>
      <c r="BQ126" s="204">
        <f t="shared" si="146"/>
        <v>3.45</v>
      </c>
      <c r="BR126" s="205">
        <f t="shared" si="147"/>
        <v>0.18</v>
      </c>
      <c r="BS126" s="206">
        <f t="shared" si="148"/>
        <v>3.6300000000000003</v>
      </c>
      <c r="BT126" s="84"/>
    </row>
    <row r="127" spans="1:72" ht="16.5" customHeight="1">
      <c r="A127" s="84"/>
      <c r="B127" s="235" t="s">
        <v>279</v>
      </c>
      <c r="C127" s="236" t="s">
        <v>280</v>
      </c>
      <c r="D127" s="78" t="s">
        <v>53</v>
      </c>
      <c r="E127" s="190">
        <v>15</v>
      </c>
      <c r="F127" s="214">
        <f t="shared" si="149"/>
        <v>0.0565</v>
      </c>
      <c r="G127" s="197">
        <f t="shared" si="129"/>
        <v>0.85</v>
      </c>
      <c r="H127" s="197">
        <f t="shared" si="150"/>
        <v>0</v>
      </c>
      <c r="I127" s="198">
        <f t="shared" si="130"/>
        <v>0.85</v>
      </c>
      <c r="J127" s="257">
        <v>20</v>
      </c>
      <c r="K127" s="214">
        <f t="shared" si="151"/>
        <v>0.0445</v>
      </c>
      <c r="L127" s="197">
        <f t="shared" si="131"/>
        <v>0.89</v>
      </c>
      <c r="M127" s="197">
        <f t="shared" si="152"/>
        <v>0</v>
      </c>
      <c r="N127" s="198">
        <f t="shared" si="132"/>
        <v>0.89</v>
      </c>
      <c r="O127" s="199">
        <f t="shared" si="133"/>
        <v>1.74</v>
      </c>
      <c r="P127" s="235" t="s">
        <v>279</v>
      </c>
      <c r="Q127" s="446" t="s">
        <v>280</v>
      </c>
      <c r="R127" s="446"/>
      <c r="S127" s="76"/>
      <c r="T127" s="22" t="s">
        <v>54</v>
      </c>
      <c r="U127" s="200">
        <f>O127</f>
        <v>1.74</v>
      </c>
      <c r="V127" s="200">
        <f>ROUND(U127*$S$19,2)</f>
        <v>0.18</v>
      </c>
      <c r="W127" s="197">
        <f>ROUND(SUM(U127:V127)*$AA$19,2)</f>
        <v>0.65</v>
      </c>
      <c r="X127" s="197">
        <f>ROUND(SUM(U127:V127)*$AA$21,2)</f>
        <v>0</v>
      </c>
      <c r="Y127" s="197">
        <f>ROUND(SUM(U127:V127)*$AA$20,2)</f>
        <v>0.03</v>
      </c>
      <c r="Z127" s="201">
        <f>ROUND(U127*$S$20,2)</f>
        <v>1.91</v>
      </c>
      <c r="AA127" s="202">
        <f>SUM(U127:Z127)</f>
        <v>4.51</v>
      </c>
      <c r="AB127" s="203">
        <f>ROUND(AA127*$S$21,2)</f>
        <v>1.35</v>
      </c>
      <c r="AC127" s="204">
        <f>SUM(AA127:AB127)</f>
        <v>5.859999999999999</v>
      </c>
      <c r="AD127" s="205">
        <f>ROUND(AC127*$AD$19/95,2)</f>
        <v>0.31</v>
      </c>
      <c r="AE127" s="206">
        <f>SUM(AC127:AD127)</f>
        <v>6.169999999999999</v>
      </c>
      <c r="AF127" s="84"/>
      <c r="AG127" s="235" t="s">
        <v>279</v>
      </c>
      <c r="AH127" s="446" t="s">
        <v>280</v>
      </c>
      <c r="AI127" s="446"/>
      <c r="AJ127" s="78"/>
      <c r="AK127" s="78"/>
      <c r="AL127" s="207">
        <f t="shared" si="134"/>
        <v>6.169999999999999</v>
      </c>
      <c r="AM127" s="207"/>
      <c r="AN127" s="207">
        <f t="shared" si="135"/>
        <v>3.6300000000000003</v>
      </c>
      <c r="AO127" s="19"/>
      <c r="AP127" s="84"/>
      <c r="AQ127" s="235" t="s">
        <v>279</v>
      </c>
      <c r="AR127" s="446" t="s">
        <v>280</v>
      </c>
      <c r="AS127" s="446"/>
      <c r="AT127" s="29">
        <v>10</v>
      </c>
      <c r="AU127" s="214">
        <f t="shared" si="122"/>
        <v>0.0565</v>
      </c>
      <c r="AV127" s="269">
        <f t="shared" si="123"/>
        <v>0.57</v>
      </c>
      <c r="AW127" s="269">
        <f t="shared" si="136"/>
        <v>0</v>
      </c>
      <c r="AX127" s="198">
        <f t="shared" si="124"/>
        <v>0.57</v>
      </c>
      <c r="AY127" s="190">
        <v>10</v>
      </c>
      <c r="AZ127" s="214">
        <f t="shared" si="125"/>
        <v>0.0445</v>
      </c>
      <c r="BA127" s="269">
        <f t="shared" si="126"/>
        <v>0.45</v>
      </c>
      <c r="BB127" s="269">
        <f t="shared" si="137"/>
        <v>0</v>
      </c>
      <c r="BC127" s="198">
        <f t="shared" si="127"/>
        <v>0.45</v>
      </c>
      <c r="BD127" s="199">
        <f t="shared" si="128"/>
        <v>1.02</v>
      </c>
      <c r="BE127" s="235" t="s">
        <v>279</v>
      </c>
      <c r="BF127" s="446" t="s">
        <v>280</v>
      </c>
      <c r="BG127" s="446"/>
      <c r="BH127" s="22"/>
      <c r="BI127" s="200">
        <f t="shared" si="138"/>
        <v>1.02</v>
      </c>
      <c r="BJ127" s="200">
        <f t="shared" si="139"/>
        <v>0.11</v>
      </c>
      <c r="BK127" s="197">
        <f t="shared" si="140"/>
        <v>0.38</v>
      </c>
      <c r="BL127" s="197">
        <f t="shared" si="141"/>
        <v>0</v>
      </c>
      <c r="BM127" s="197">
        <f t="shared" si="142"/>
        <v>0.02</v>
      </c>
      <c r="BN127" s="201">
        <f t="shared" si="143"/>
        <v>1.12</v>
      </c>
      <c r="BO127" s="202">
        <f t="shared" si="144"/>
        <v>2.6500000000000004</v>
      </c>
      <c r="BP127" s="203">
        <f t="shared" si="145"/>
        <v>0.8</v>
      </c>
      <c r="BQ127" s="204">
        <f t="shared" si="146"/>
        <v>3.45</v>
      </c>
      <c r="BR127" s="205">
        <f t="shared" si="147"/>
        <v>0.18</v>
      </c>
      <c r="BS127" s="206">
        <f t="shared" si="148"/>
        <v>3.6300000000000003</v>
      </c>
      <c r="BT127" s="84"/>
    </row>
    <row r="128" spans="1:72" ht="16.5" customHeight="1">
      <c r="A128" s="84"/>
      <c r="B128" s="233" t="s">
        <v>281</v>
      </c>
      <c r="C128" s="234" t="s">
        <v>282</v>
      </c>
      <c r="D128" s="251"/>
      <c r="E128" s="255"/>
      <c r="F128" s="256"/>
      <c r="G128" s="253"/>
      <c r="H128" s="253"/>
      <c r="I128" s="254"/>
      <c r="J128" s="257"/>
      <c r="K128" s="255"/>
      <c r="L128" s="253"/>
      <c r="M128" s="253"/>
      <c r="N128" s="254"/>
      <c r="O128" s="220"/>
      <c r="P128" s="233" t="s">
        <v>281</v>
      </c>
      <c r="Q128" s="442" t="s">
        <v>282</v>
      </c>
      <c r="R128" s="442"/>
      <c r="S128" s="76"/>
      <c r="T128" s="219"/>
      <c r="U128" s="253"/>
      <c r="V128" s="253"/>
      <c r="W128" s="253"/>
      <c r="X128" s="253"/>
      <c r="Y128" s="253"/>
      <c r="Z128" s="253"/>
      <c r="AA128" s="253"/>
      <c r="AB128" s="253"/>
      <c r="AC128" s="253"/>
      <c r="AD128" s="253"/>
      <c r="AE128" s="220"/>
      <c r="AF128" s="84"/>
      <c r="AG128" s="233" t="s">
        <v>281</v>
      </c>
      <c r="AH128" s="442" t="s">
        <v>282</v>
      </c>
      <c r="AI128" s="442"/>
      <c r="AJ128" s="78"/>
      <c r="AK128" s="78"/>
      <c r="AL128" s="207"/>
      <c r="AM128" s="207"/>
      <c r="AN128" s="207"/>
      <c r="AO128" s="19"/>
      <c r="AP128" s="84"/>
      <c r="AQ128" s="233" t="s">
        <v>281</v>
      </c>
      <c r="AR128" s="442" t="s">
        <v>282</v>
      </c>
      <c r="AS128" s="442"/>
      <c r="AT128" s="29"/>
      <c r="AU128" s="256"/>
      <c r="AV128" s="254"/>
      <c r="AW128" s="254"/>
      <c r="AX128" s="254"/>
      <c r="AY128" s="255"/>
      <c r="AZ128" s="256"/>
      <c r="BA128" s="254"/>
      <c r="BB128" s="254"/>
      <c r="BC128" s="254"/>
      <c r="BD128" s="220"/>
      <c r="BE128" s="233" t="s">
        <v>281</v>
      </c>
      <c r="BF128" s="442" t="s">
        <v>282</v>
      </c>
      <c r="BG128" s="442"/>
      <c r="BH128" s="22"/>
      <c r="BI128" s="253"/>
      <c r="BJ128" s="253"/>
      <c r="BK128" s="253"/>
      <c r="BL128" s="253"/>
      <c r="BM128" s="253"/>
      <c r="BN128" s="253"/>
      <c r="BO128" s="253"/>
      <c r="BP128" s="253"/>
      <c r="BQ128" s="253"/>
      <c r="BR128" s="253"/>
      <c r="BS128" s="220"/>
      <c r="BT128" s="84"/>
    </row>
    <row r="129" spans="1:72" ht="17.25" customHeight="1">
      <c r="A129" s="84"/>
      <c r="B129" s="235" t="s">
        <v>283</v>
      </c>
      <c r="C129" s="236" t="s">
        <v>284</v>
      </c>
      <c r="D129" s="78" t="s">
        <v>53</v>
      </c>
      <c r="E129" s="190">
        <v>15</v>
      </c>
      <c r="F129" s="214">
        <f>$G$15</f>
        <v>0.0565</v>
      </c>
      <c r="G129" s="197">
        <f>ROUND(E129*F129,2)</f>
        <v>0.85</v>
      </c>
      <c r="H129" s="197">
        <f>ROUND(G129*($A$16+$A$17)/100,2)</f>
        <v>0</v>
      </c>
      <c r="I129" s="198">
        <f>SUM(G129:H129)</f>
        <v>0.85</v>
      </c>
      <c r="J129" s="257">
        <v>20</v>
      </c>
      <c r="K129" s="214">
        <f>$G$18</f>
        <v>0.0445</v>
      </c>
      <c r="L129" s="197">
        <f>ROUND(J129*K129,2)</f>
        <v>0.89</v>
      </c>
      <c r="M129" s="197">
        <f>ROUND(L129*($A$16+$A$17)/100,2)</f>
        <v>0</v>
      </c>
      <c r="N129" s="198">
        <f>SUM(L129:M129)</f>
        <v>0.89</v>
      </c>
      <c r="O129" s="199">
        <f>SUM(I129,N129)</f>
        <v>1.74</v>
      </c>
      <c r="P129" s="235" t="s">
        <v>283</v>
      </c>
      <c r="Q129" s="446" t="s">
        <v>284</v>
      </c>
      <c r="R129" s="446"/>
      <c r="S129" s="76"/>
      <c r="T129" s="22" t="s">
        <v>54</v>
      </c>
      <c r="U129" s="200">
        <f>O129</f>
        <v>1.74</v>
      </c>
      <c r="V129" s="200">
        <f>ROUND(U129*$S$19,2)</f>
        <v>0.18</v>
      </c>
      <c r="W129" s="197">
        <f>ROUND(SUM(U129:V129)*$AA$19,2)</f>
        <v>0.65</v>
      </c>
      <c r="X129" s="197">
        <f>ROUND(SUM(U129:V129)*$AA$21,2)</f>
        <v>0</v>
      </c>
      <c r="Y129" s="197">
        <f>ROUND(SUM(U129:V129)*$AA$20,2)</f>
        <v>0.03</v>
      </c>
      <c r="Z129" s="201">
        <f>ROUND(U129*$S$20,2)</f>
        <v>1.91</v>
      </c>
      <c r="AA129" s="202">
        <f>SUM(U129:Z129)</f>
        <v>4.51</v>
      </c>
      <c r="AB129" s="203">
        <f>ROUND(AA129*$S$21,2)</f>
        <v>1.35</v>
      </c>
      <c r="AC129" s="204">
        <f>SUM(AA129:AB129)</f>
        <v>5.859999999999999</v>
      </c>
      <c r="AD129" s="205">
        <f>ROUND(AC129*$AD$19/95,2)</f>
        <v>0.31</v>
      </c>
      <c r="AE129" s="206">
        <f>SUM(AC129:AD129)</f>
        <v>6.169999999999999</v>
      </c>
      <c r="AF129" s="84"/>
      <c r="AG129" s="235" t="s">
        <v>283</v>
      </c>
      <c r="AH129" s="446" t="s">
        <v>284</v>
      </c>
      <c r="AI129" s="446"/>
      <c r="AJ129" s="78" t="s">
        <v>54</v>
      </c>
      <c r="AK129" s="78"/>
      <c r="AL129" s="207">
        <f t="shared" si="134"/>
        <v>6.169999999999999</v>
      </c>
      <c r="AM129" s="207"/>
      <c r="AN129" s="207">
        <f t="shared" si="135"/>
        <v>3.6300000000000003</v>
      </c>
      <c r="AO129" s="19"/>
      <c r="AP129" s="84"/>
      <c r="AQ129" s="235" t="s">
        <v>283</v>
      </c>
      <c r="AR129" s="446" t="s">
        <v>284</v>
      </c>
      <c r="AS129" s="446"/>
      <c r="AT129" s="29">
        <v>10</v>
      </c>
      <c r="AU129" s="214">
        <f t="shared" si="122"/>
        <v>0.0565</v>
      </c>
      <c r="AV129" s="269">
        <f t="shared" si="123"/>
        <v>0.57</v>
      </c>
      <c r="AW129" s="269">
        <f t="shared" si="136"/>
        <v>0</v>
      </c>
      <c r="AX129" s="198">
        <f t="shared" si="124"/>
        <v>0.57</v>
      </c>
      <c r="AY129" s="190">
        <v>10</v>
      </c>
      <c r="AZ129" s="214">
        <f t="shared" si="125"/>
        <v>0.0445</v>
      </c>
      <c r="BA129" s="269">
        <f t="shared" si="126"/>
        <v>0.45</v>
      </c>
      <c r="BB129" s="269">
        <f t="shared" si="137"/>
        <v>0</v>
      </c>
      <c r="BC129" s="198">
        <f t="shared" si="127"/>
        <v>0.45</v>
      </c>
      <c r="BD129" s="199">
        <f t="shared" si="128"/>
        <v>1.02</v>
      </c>
      <c r="BE129" s="235" t="s">
        <v>283</v>
      </c>
      <c r="BF129" s="446" t="s">
        <v>284</v>
      </c>
      <c r="BG129" s="446"/>
      <c r="BH129" s="22" t="s">
        <v>54</v>
      </c>
      <c r="BI129" s="200">
        <f t="shared" si="138"/>
        <v>1.02</v>
      </c>
      <c r="BJ129" s="200">
        <f t="shared" si="139"/>
        <v>0.11</v>
      </c>
      <c r="BK129" s="197">
        <f t="shared" si="140"/>
        <v>0.38</v>
      </c>
      <c r="BL129" s="197">
        <f t="shared" si="141"/>
        <v>0</v>
      </c>
      <c r="BM129" s="197">
        <f t="shared" si="142"/>
        <v>0.02</v>
      </c>
      <c r="BN129" s="201">
        <f t="shared" si="143"/>
        <v>1.12</v>
      </c>
      <c r="BO129" s="202">
        <f t="shared" si="144"/>
        <v>2.6500000000000004</v>
      </c>
      <c r="BP129" s="203">
        <f t="shared" si="145"/>
        <v>0.8</v>
      </c>
      <c r="BQ129" s="204">
        <f t="shared" si="146"/>
        <v>3.45</v>
      </c>
      <c r="BR129" s="205">
        <f t="shared" si="147"/>
        <v>0.18</v>
      </c>
      <c r="BS129" s="206">
        <f t="shared" si="148"/>
        <v>3.6300000000000003</v>
      </c>
      <c r="BT129" s="84"/>
    </row>
    <row r="130" spans="1:72" ht="18" customHeight="1">
      <c r="A130" s="84"/>
      <c r="B130" s="233" t="s">
        <v>285</v>
      </c>
      <c r="C130" s="234" t="s">
        <v>286</v>
      </c>
      <c r="D130" s="251"/>
      <c r="E130" s="255"/>
      <c r="F130" s="256"/>
      <c r="G130" s="253"/>
      <c r="H130" s="253"/>
      <c r="I130" s="254"/>
      <c r="J130" s="257"/>
      <c r="K130" s="255"/>
      <c r="L130" s="253"/>
      <c r="M130" s="253"/>
      <c r="N130" s="254"/>
      <c r="O130" s="220"/>
      <c r="P130" s="233" t="s">
        <v>285</v>
      </c>
      <c r="Q130" s="442" t="s">
        <v>286</v>
      </c>
      <c r="R130" s="442"/>
      <c r="S130" s="76"/>
      <c r="T130" s="219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220"/>
      <c r="AF130" s="84"/>
      <c r="AG130" s="233" t="s">
        <v>285</v>
      </c>
      <c r="AH130" s="442" t="s">
        <v>286</v>
      </c>
      <c r="AI130" s="442"/>
      <c r="AJ130" s="78"/>
      <c r="AK130" s="78"/>
      <c r="AL130" s="207"/>
      <c r="AM130" s="207"/>
      <c r="AN130" s="207"/>
      <c r="AO130" s="19"/>
      <c r="AP130" s="84"/>
      <c r="AQ130" s="233" t="s">
        <v>285</v>
      </c>
      <c r="AR130" s="442" t="s">
        <v>286</v>
      </c>
      <c r="AS130" s="442"/>
      <c r="AT130" s="29"/>
      <c r="AU130" s="256"/>
      <c r="AV130" s="254"/>
      <c r="AW130" s="254"/>
      <c r="AX130" s="254"/>
      <c r="AY130" s="255"/>
      <c r="AZ130" s="256"/>
      <c r="BA130" s="254"/>
      <c r="BB130" s="254"/>
      <c r="BC130" s="254"/>
      <c r="BD130" s="220"/>
      <c r="BE130" s="233" t="s">
        <v>285</v>
      </c>
      <c r="BF130" s="442" t="s">
        <v>286</v>
      </c>
      <c r="BG130" s="442"/>
      <c r="BH130" s="219"/>
      <c r="BI130" s="253"/>
      <c r="BJ130" s="253"/>
      <c r="BK130" s="253"/>
      <c r="BL130" s="253"/>
      <c r="BM130" s="253"/>
      <c r="BN130" s="253"/>
      <c r="BO130" s="253"/>
      <c r="BP130" s="253"/>
      <c r="BQ130" s="253"/>
      <c r="BR130" s="253"/>
      <c r="BS130" s="220"/>
      <c r="BT130" s="84"/>
    </row>
    <row r="131" spans="1:72" ht="18" customHeight="1">
      <c r="A131" s="84"/>
      <c r="B131" s="235" t="s">
        <v>287</v>
      </c>
      <c r="C131" s="236" t="s">
        <v>288</v>
      </c>
      <c r="D131" s="78" t="s">
        <v>53</v>
      </c>
      <c r="E131" s="190">
        <v>15</v>
      </c>
      <c r="F131" s="214">
        <f>$G$15</f>
        <v>0.0565</v>
      </c>
      <c r="G131" s="197">
        <f>ROUND(E131*F131,2)</f>
        <v>0.85</v>
      </c>
      <c r="H131" s="197">
        <f>ROUND(G131*($A$16+$A$17)/100,2)</f>
        <v>0</v>
      </c>
      <c r="I131" s="198">
        <f>SUM(G131:H131)</f>
        <v>0.85</v>
      </c>
      <c r="J131" s="257">
        <v>20</v>
      </c>
      <c r="K131" s="214">
        <f>$G$18</f>
        <v>0.0445</v>
      </c>
      <c r="L131" s="197">
        <f>ROUND(J131*K131,2)</f>
        <v>0.89</v>
      </c>
      <c r="M131" s="197">
        <f>ROUND(L131*($A$16+$A$17)/100,2)</f>
        <v>0</v>
      </c>
      <c r="N131" s="198">
        <f>SUM(L131:M131)</f>
        <v>0.89</v>
      </c>
      <c r="O131" s="199">
        <f>SUM(I131,N131)</f>
        <v>1.74</v>
      </c>
      <c r="P131" s="235" t="s">
        <v>287</v>
      </c>
      <c r="Q131" s="446" t="s">
        <v>288</v>
      </c>
      <c r="R131" s="446"/>
      <c r="S131" s="76"/>
      <c r="T131" s="22" t="s">
        <v>54</v>
      </c>
      <c r="U131" s="200">
        <f>O131</f>
        <v>1.74</v>
      </c>
      <c r="V131" s="200">
        <f>ROUND(U131*$S$19,2)</f>
        <v>0.18</v>
      </c>
      <c r="W131" s="197">
        <f>ROUND(SUM(U131:V131)*$AA$19,2)</f>
        <v>0.65</v>
      </c>
      <c r="X131" s="197">
        <f>ROUND(SUM(U131:V131)*$AA$21,2)</f>
        <v>0</v>
      </c>
      <c r="Y131" s="197">
        <f>ROUND(SUM(U131:V131)*$AA$20,2)</f>
        <v>0.03</v>
      </c>
      <c r="Z131" s="201">
        <f>ROUND(U131*$S$20,2)</f>
        <v>1.91</v>
      </c>
      <c r="AA131" s="202">
        <f>SUM(U131:Z131)</f>
        <v>4.51</v>
      </c>
      <c r="AB131" s="203">
        <f>ROUND(AA131*$S$21,2)</f>
        <v>1.35</v>
      </c>
      <c r="AC131" s="204">
        <f>SUM(AA131:AB131)</f>
        <v>5.859999999999999</v>
      </c>
      <c r="AD131" s="205">
        <f>ROUND(AC131*$AD$19/95,2)</f>
        <v>0.31</v>
      </c>
      <c r="AE131" s="206">
        <f>SUM(AC131:AD131)</f>
        <v>6.169999999999999</v>
      </c>
      <c r="AF131" s="84"/>
      <c r="AG131" s="235" t="s">
        <v>287</v>
      </c>
      <c r="AH131" s="446" t="s">
        <v>288</v>
      </c>
      <c r="AI131" s="446"/>
      <c r="AJ131" s="78" t="s">
        <v>54</v>
      </c>
      <c r="AK131" s="78"/>
      <c r="AL131" s="207">
        <f t="shared" si="134"/>
        <v>6.169999999999999</v>
      </c>
      <c r="AM131" s="207"/>
      <c r="AN131" s="207">
        <f t="shared" si="135"/>
        <v>3.6300000000000003</v>
      </c>
      <c r="AO131" s="19"/>
      <c r="AP131" s="84"/>
      <c r="AQ131" s="235" t="s">
        <v>287</v>
      </c>
      <c r="AR131" s="446" t="s">
        <v>288</v>
      </c>
      <c r="AS131" s="446"/>
      <c r="AT131" s="29">
        <v>10</v>
      </c>
      <c r="AU131" s="214">
        <f t="shared" si="122"/>
        <v>0.0565</v>
      </c>
      <c r="AV131" s="269">
        <f t="shared" si="123"/>
        <v>0.57</v>
      </c>
      <c r="AW131" s="269">
        <f t="shared" si="136"/>
        <v>0</v>
      </c>
      <c r="AX131" s="198">
        <f t="shared" si="124"/>
        <v>0.57</v>
      </c>
      <c r="AY131" s="190">
        <v>10</v>
      </c>
      <c r="AZ131" s="214">
        <f t="shared" si="125"/>
        <v>0.0445</v>
      </c>
      <c r="BA131" s="269">
        <f t="shared" si="126"/>
        <v>0.45</v>
      </c>
      <c r="BB131" s="269">
        <f t="shared" si="137"/>
        <v>0</v>
      </c>
      <c r="BC131" s="198">
        <f t="shared" si="127"/>
        <v>0.45</v>
      </c>
      <c r="BD131" s="199">
        <f t="shared" si="128"/>
        <v>1.02</v>
      </c>
      <c r="BE131" s="235" t="s">
        <v>287</v>
      </c>
      <c r="BF131" s="446" t="s">
        <v>288</v>
      </c>
      <c r="BG131" s="446"/>
      <c r="BH131" s="22" t="s">
        <v>54</v>
      </c>
      <c r="BI131" s="200">
        <f t="shared" si="138"/>
        <v>1.02</v>
      </c>
      <c r="BJ131" s="200">
        <f t="shared" si="139"/>
        <v>0.11</v>
      </c>
      <c r="BK131" s="197">
        <f t="shared" si="140"/>
        <v>0.38</v>
      </c>
      <c r="BL131" s="197">
        <f t="shared" si="141"/>
        <v>0</v>
      </c>
      <c r="BM131" s="197">
        <f t="shared" si="142"/>
        <v>0.02</v>
      </c>
      <c r="BN131" s="201">
        <f t="shared" si="143"/>
        <v>1.12</v>
      </c>
      <c r="BO131" s="202">
        <f t="shared" si="144"/>
        <v>2.6500000000000004</v>
      </c>
      <c r="BP131" s="203">
        <f t="shared" si="145"/>
        <v>0.8</v>
      </c>
      <c r="BQ131" s="204">
        <f t="shared" si="146"/>
        <v>3.45</v>
      </c>
      <c r="BR131" s="205">
        <f t="shared" si="147"/>
        <v>0.18</v>
      </c>
      <c r="BS131" s="206">
        <f t="shared" si="148"/>
        <v>3.6300000000000003</v>
      </c>
      <c r="BT131" s="84"/>
    </row>
    <row r="132" spans="1:72" ht="15" customHeight="1">
      <c r="A132" s="84"/>
      <c r="B132" s="233" t="s">
        <v>289</v>
      </c>
      <c r="C132" s="234" t="s">
        <v>290</v>
      </c>
      <c r="D132" s="251"/>
      <c r="E132" s="255"/>
      <c r="F132" s="256"/>
      <c r="G132" s="253"/>
      <c r="H132" s="253"/>
      <c r="I132" s="254"/>
      <c r="J132" s="257"/>
      <c r="K132" s="255"/>
      <c r="L132" s="253"/>
      <c r="M132" s="253"/>
      <c r="N132" s="254"/>
      <c r="O132" s="220"/>
      <c r="P132" s="233" t="s">
        <v>289</v>
      </c>
      <c r="Q132" s="442" t="s">
        <v>290</v>
      </c>
      <c r="R132" s="442"/>
      <c r="S132" s="76"/>
      <c r="T132" s="219"/>
      <c r="U132" s="253"/>
      <c r="V132" s="253"/>
      <c r="W132" s="253"/>
      <c r="X132" s="253"/>
      <c r="Y132" s="253"/>
      <c r="Z132" s="253"/>
      <c r="AA132" s="253"/>
      <c r="AB132" s="253"/>
      <c r="AC132" s="253"/>
      <c r="AD132" s="253"/>
      <c r="AE132" s="220"/>
      <c r="AF132" s="84"/>
      <c r="AG132" s="233" t="s">
        <v>289</v>
      </c>
      <c r="AH132" s="442" t="s">
        <v>290</v>
      </c>
      <c r="AI132" s="442"/>
      <c r="AJ132" s="78"/>
      <c r="AK132" s="78"/>
      <c r="AL132" s="207"/>
      <c r="AM132" s="207"/>
      <c r="AN132" s="207"/>
      <c r="AO132" s="19"/>
      <c r="AP132" s="84"/>
      <c r="AQ132" s="233" t="s">
        <v>289</v>
      </c>
      <c r="AR132" s="442" t="s">
        <v>290</v>
      </c>
      <c r="AS132" s="442"/>
      <c r="AT132" s="29"/>
      <c r="AU132" s="256"/>
      <c r="AV132" s="254"/>
      <c r="AW132" s="254"/>
      <c r="AX132" s="254"/>
      <c r="AY132" s="255"/>
      <c r="AZ132" s="256"/>
      <c r="BA132" s="254"/>
      <c r="BB132" s="254"/>
      <c r="BC132" s="254"/>
      <c r="BD132" s="220"/>
      <c r="BE132" s="233" t="s">
        <v>289</v>
      </c>
      <c r="BF132" s="442" t="s">
        <v>290</v>
      </c>
      <c r="BG132" s="442"/>
      <c r="BH132" s="219"/>
      <c r="BI132" s="253"/>
      <c r="BJ132" s="253"/>
      <c r="BK132" s="253"/>
      <c r="BL132" s="253"/>
      <c r="BM132" s="253"/>
      <c r="BN132" s="253"/>
      <c r="BO132" s="253"/>
      <c r="BP132" s="253"/>
      <c r="BQ132" s="253"/>
      <c r="BR132" s="253"/>
      <c r="BS132" s="220"/>
      <c r="BT132" s="84"/>
    </row>
    <row r="133" spans="1:72" ht="15.75" customHeight="1">
      <c r="A133" s="84"/>
      <c r="B133" s="235" t="s">
        <v>291</v>
      </c>
      <c r="C133" s="236" t="s">
        <v>292</v>
      </c>
      <c r="D133" s="78" t="s">
        <v>53</v>
      </c>
      <c r="E133" s="190">
        <v>15</v>
      </c>
      <c r="F133" s="214">
        <f>$G$15</f>
        <v>0.0565</v>
      </c>
      <c r="G133" s="197">
        <f>ROUND(E133*F133,2)</f>
        <v>0.85</v>
      </c>
      <c r="H133" s="197">
        <f>ROUND(G133*($A$16+$A$17)/100,2)</f>
        <v>0</v>
      </c>
      <c r="I133" s="198">
        <f>SUM(G133:H133)</f>
        <v>0.85</v>
      </c>
      <c r="J133" s="257">
        <v>20</v>
      </c>
      <c r="K133" s="214">
        <f>$G$18</f>
        <v>0.0445</v>
      </c>
      <c r="L133" s="197">
        <f>ROUND(J133*K133,2)</f>
        <v>0.89</v>
      </c>
      <c r="M133" s="197">
        <f>ROUND(L133*($A$16+$A$17)/100,2)</f>
        <v>0</v>
      </c>
      <c r="N133" s="198">
        <f>SUM(L133:M133)</f>
        <v>0.89</v>
      </c>
      <c r="O133" s="199">
        <f>SUM(I133,N133)</f>
        <v>1.74</v>
      </c>
      <c r="P133" s="235" t="s">
        <v>291</v>
      </c>
      <c r="Q133" s="446" t="s">
        <v>292</v>
      </c>
      <c r="R133" s="446"/>
      <c r="S133" s="76"/>
      <c r="T133" s="22" t="s">
        <v>54</v>
      </c>
      <c r="U133" s="200">
        <f>O133</f>
        <v>1.74</v>
      </c>
      <c r="V133" s="200">
        <f>ROUND(U133*$S$19,2)</f>
        <v>0.18</v>
      </c>
      <c r="W133" s="197">
        <f>ROUND(SUM(U133:V133)*$AA$19,2)</f>
        <v>0.65</v>
      </c>
      <c r="X133" s="197">
        <f>ROUND(SUM(U133:V133)*$AA$21,2)</f>
        <v>0</v>
      </c>
      <c r="Y133" s="197">
        <f>ROUND(SUM(U133:V133)*$AA$20,2)</f>
        <v>0.03</v>
      </c>
      <c r="Z133" s="201">
        <f>ROUND(U133*$S$20,2)</f>
        <v>1.91</v>
      </c>
      <c r="AA133" s="202">
        <f>SUM(U133:Z133)</f>
        <v>4.51</v>
      </c>
      <c r="AB133" s="203">
        <f>ROUND(AA133*$S$21,2)</f>
        <v>1.35</v>
      </c>
      <c r="AC133" s="204">
        <f>SUM(AA133:AB133)</f>
        <v>5.859999999999999</v>
      </c>
      <c r="AD133" s="205">
        <f>ROUND(AC133*$AD$19/95,2)</f>
        <v>0.31</v>
      </c>
      <c r="AE133" s="206">
        <f>SUM(AC133:AD133)</f>
        <v>6.169999999999999</v>
      </c>
      <c r="AF133" s="84"/>
      <c r="AG133" s="235" t="s">
        <v>291</v>
      </c>
      <c r="AH133" s="446" t="s">
        <v>292</v>
      </c>
      <c r="AI133" s="446"/>
      <c r="AJ133" s="78" t="s">
        <v>54</v>
      </c>
      <c r="AK133" s="78"/>
      <c r="AL133" s="207">
        <f t="shared" si="134"/>
        <v>6.169999999999999</v>
      </c>
      <c r="AM133" s="207"/>
      <c r="AN133" s="207">
        <f t="shared" si="135"/>
        <v>3.6300000000000003</v>
      </c>
      <c r="AO133" s="19"/>
      <c r="AP133" s="84"/>
      <c r="AQ133" s="235" t="s">
        <v>291</v>
      </c>
      <c r="AR133" s="446" t="s">
        <v>292</v>
      </c>
      <c r="AS133" s="446"/>
      <c r="AT133" s="29">
        <v>10</v>
      </c>
      <c r="AU133" s="214">
        <f t="shared" si="122"/>
        <v>0.0565</v>
      </c>
      <c r="AV133" s="269">
        <f t="shared" si="123"/>
        <v>0.57</v>
      </c>
      <c r="AW133" s="269">
        <f t="shared" si="136"/>
        <v>0</v>
      </c>
      <c r="AX133" s="198">
        <f t="shared" si="124"/>
        <v>0.57</v>
      </c>
      <c r="AY133" s="190">
        <v>10</v>
      </c>
      <c r="AZ133" s="214">
        <f t="shared" si="125"/>
        <v>0.0445</v>
      </c>
      <c r="BA133" s="269">
        <f t="shared" si="126"/>
        <v>0.45</v>
      </c>
      <c r="BB133" s="269">
        <f t="shared" si="137"/>
        <v>0</v>
      </c>
      <c r="BC133" s="198">
        <f t="shared" si="127"/>
        <v>0.45</v>
      </c>
      <c r="BD133" s="199">
        <f t="shared" si="128"/>
        <v>1.02</v>
      </c>
      <c r="BE133" s="235" t="s">
        <v>291</v>
      </c>
      <c r="BF133" s="446" t="s">
        <v>292</v>
      </c>
      <c r="BG133" s="446"/>
      <c r="BH133" s="22" t="s">
        <v>54</v>
      </c>
      <c r="BI133" s="200">
        <f t="shared" si="138"/>
        <v>1.02</v>
      </c>
      <c r="BJ133" s="200">
        <f t="shared" si="139"/>
        <v>0.11</v>
      </c>
      <c r="BK133" s="197">
        <f t="shared" si="140"/>
        <v>0.38</v>
      </c>
      <c r="BL133" s="197">
        <f t="shared" si="141"/>
        <v>0</v>
      </c>
      <c r="BM133" s="197">
        <f t="shared" si="142"/>
        <v>0.02</v>
      </c>
      <c r="BN133" s="201">
        <f t="shared" si="143"/>
        <v>1.12</v>
      </c>
      <c r="BO133" s="202">
        <f t="shared" si="144"/>
        <v>2.6500000000000004</v>
      </c>
      <c r="BP133" s="203">
        <f t="shared" si="145"/>
        <v>0.8</v>
      </c>
      <c r="BQ133" s="204">
        <f t="shared" si="146"/>
        <v>3.45</v>
      </c>
      <c r="BR133" s="205">
        <f t="shared" si="147"/>
        <v>0.18</v>
      </c>
      <c r="BS133" s="206">
        <f t="shared" si="148"/>
        <v>3.6300000000000003</v>
      </c>
      <c r="BT133" s="84"/>
    </row>
    <row r="134" spans="1:72" ht="18" customHeight="1">
      <c r="A134" s="24"/>
      <c r="B134" s="233" t="s">
        <v>293</v>
      </c>
      <c r="C134" s="234" t="s">
        <v>294</v>
      </c>
      <c r="D134" s="251"/>
      <c r="E134" s="255"/>
      <c r="F134" s="256"/>
      <c r="G134" s="253"/>
      <c r="H134" s="253"/>
      <c r="I134" s="254"/>
      <c r="J134" s="257"/>
      <c r="K134" s="255"/>
      <c r="L134" s="253"/>
      <c r="M134" s="253"/>
      <c r="N134" s="254"/>
      <c r="O134" s="220"/>
      <c r="P134" s="233" t="s">
        <v>293</v>
      </c>
      <c r="Q134" s="442" t="s">
        <v>294</v>
      </c>
      <c r="R134" s="442"/>
      <c r="S134" s="76"/>
      <c r="T134" s="219"/>
      <c r="U134" s="253"/>
      <c r="V134" s="253"/>
      <c r="W134" s="253"/>
      <c r="X134" s="253"/>
      <c r="Y134" s="253"/>
      <c r="Z134" s="253"/>
      <c r="AA134" s="253"/>
      <c r="AB134" s="253"/>
      <c r="AC134" s="253"/>
      <c r="AD134" s="253"/>
      <c r="AE134" s="220"/>
      <c r="AF134" s="24"/>
      <c r="AG134" s="233" t="s">
        <v>293</v>
      </c>
      <c r="AH134" s="442" t="s">
        <v>294</v>
      </c>
      <c r="AI134" s="442"/>
      <c r="AJ134" s="78"/>
      <c r="AK134" s="78"/>
      <c r="AL134" s="207"/>
      <c r="AM134" s="207"/>
      <c r="AN134" s="207"/>
      <c r="AO134" s="19"/>
      <c r="AP134" s="24"/>
      <c r="AQ134" s="233" t="s">
        <v>293</v>
      </c>
      <c r="AR134" s="442" t="s">
        <v>294</v>
      </c>
      <c r="AS134" s="442"/>
      <c r="AT134" s="29"/>
      <c r="AU134" s="256"/>
      <c r="AV134" s="254"/>
      <c r="AW134" s="254"/>
      <c r="AX134" s="254"/>
      <c r="AY134" s="255"/>
      <c r="AZ134" s="256"/>
      <c r="BA134" s="254"/>
      <c r="BB134" s="254"/>
      <c r="BC134" s="254"/>
      <c r="BD134" s="220"/>
      <c r="BE134" s="233" t="s">
        <v>293</v>
      </c>
      <c r="BF134" s="442" t="s">
        <v>294</v>
      </c>
      <c r="BG134" s="442"/>
      <c r="BH134" s="22"/>
      <c r="BI134" s="253"/>
      <c r="BJ134" s="253"/>
      <c r="BK134" s="253"/>
      <c r="BL134" s="253"/>
      <c r="BM134" s="253"/>
      <c r="BN134" s="253"/>
      <c r="BO134" s="253"/>
      <c r="BP134" s="253"/>
      <c r="BQ134" s="253"/>
      <c r="BR134" s="253"/>
      <c r="BS134" s="220"/>
      <c r="BT134" s="24"/>
    </row>
    <row r="135" spans="1:72" ht="17.25" customHeight="1">
      <c r="A135" s="24"/>
      <c r="B135" s="235" t="s">
        <v>295</v>
      </c>
      <c r="C135" s="236" t="s">
        <v>296</v>
      </c>
      <c r="D135" s="78" t="s">
        <v>53</v>
      </c>
      <c r="E135" s="190">
        <v>15</v>
      </c>
      <c r="F135" s="214">
        <f>$G$15</f>
        <v>0.0565</v>
      </c>
      <c r="G135" s="197">
        <f>ROUND(E135*F135,2)</f>
        <v>0.85</v>
      </c>
      <c r="H135" s="197">
        <f>ROUND(G135*($A$16+$A$17)/100,2)</f>
        <v>0</v>
      </c>
      <c r="I135" s="198">
        <f>SUM(G135:H135)</f>
        <v>0.85</v>
      </c>
      <c r="J135" s="257">
        <v>20</v>
      </c>
      <c r="K135" s="214">
        <f>$G$18</f>
        <v>0.0445</v>
      </c>
      <c r="L135" s="197">
        <f>ROUND(J135*K135,2)</f>
        <v>0.89</v>
      </c>
      <c r="M135" s="197">
        <f>ROUND(L135*($A$16+$A$17)/100,2)</f>
        <v>0</v>
      </c>
      <c r="N135" s="198">
        <f>SUM(L135:M135)</f>
        <v>0.89</v>
      </c>
      <c r="O135" s="199">
        <f>SUM(I135,N135)</f>
        <v>1.74</v>
      </c>
      <c r="P135" s="235" t="s">
        <v>295</v>
      </c>
      <c r="Q135" s="446" t="s">
        <v>296</v>
      </c>
      <c r="R135" s="446"/>
      <c r="S135" s="76"/>
      <c r="T135" s="22" t="s">
        <v>54</v>
      </c>
      <c r="U135" s="200">
        <f>O135</f>
        <v>1.74</v>
      </c>
      <c r="V135" s="200">
        <f>ROUND(U135*$S$19,2)</f>
        <v>0.18</v>
      </c>
      <c r="W135" s="197">
        <f>ROUND(SUM(U135:V135)*$AA$19,2)</f>
        <v>0.65</v>
      </c>
      <c r="X135" s="197">
        <f>ROUND(SUM(U135:V135)*$AA$21,2)</f>
        <v>0</v>
      </c>
      <c r="Y135" s="197">
        <f>ROUND(SUM(U135:V135)*$AA$20,2)</f>
        <v>0.03</v>
      </c>
      <c r="Z135" s="201">
        <f>ROUND(U135*$S$20,2)</f>
        <v>1.91</v>
      </c>
      <c r="AA135" s="202">
        <f>SUM(U135:Z135)</f>
        <v>4.51</v>
      </c>
      <c r="AB135" s="203">
        <f>ROUND(AA135*$S$21,2)</f>
        <v>1.35</v>
      </c>
      <c r="AC135" s="204">
        <f>SUM(AA135:AB135)</f>
        <v>5.859999999999999</v>
      </c>
      <c r="AD135" s="205">
        <f>ROUND(AC135*$AD$19/95,2)</f>
        <v>0.31</v>
      </c>
      <c r="AE135" s="206">
        <f>SUM(AC135:AD135)</f>
        <v>6.169999999999999</v>
      </c>
      <c r="AF135" s="24"/>
      <c r="AG135" s="235" t="s">
        <v>295</v>
      </c>
      <c r="AH135" s="446" t="s">
        <v>296</v>
      </c>
      <c r="AI135" s="446"/>
      <c r="AJ135" s="78"/>
      <c r="AK135" s="78"/>
      <c r="AL135" s="207">
        <f t="shared" si="134"/>
        <v>6.169999999999999</v>
      </c>
      <c r="AM135" s="207"/>
      <c r="AN135" s="207">
        <f t="shared" si="135"/>
        <v>3.6300000000000003</v>
      </c>
      <c r="AO135" s="19"/>
      <c r="AP135" s="24"/>
      <c r="AQ135" s="235" t="s">
        <v>295</v>
      </c>
      <c r="AR135" s="446" t="s">
        <v>296</v>
      </c>
      <c r="AS135" s="446"/>
      <c r="AT135" s="29">
        <v>10</v>
      </c>
      <c r="AU135" s="214">
        <f t="shared" si="122"/>
        <v>0.0565</v>
      </c>
      <c r="AV135" s="269">
        <f t="shared" si="123"/>
        <v>0.57</v>
      </c>
      <c r="AW135" s="269">
        <f t="shared" si="136"/>
        <v>0</v>
      </c>
      <c r="AX135" s="198">
        <f t="shared" si="124"/>
        <v>0.57</v>
      </c>
      <c r="AY135" s="190">
        <v>10</v>
      </c>
      <c r="AZ135" s="214">
        <f t="shared" si="125"/>
        <v>0.0445</v>
      </c>
      <c r="BA135" s="269">
        <f t="shared" si="126"/>
        <v>0.45</v>
      </c>
      <c r="BB135" s="269">
        <f t="shared" si="137"/>
        <v>0</v>
      </c>
      <c r="BC135" s="198">
        <f t="shared" si="127"/>
        <v>0.45</v>
      </c>
      <c r="BD135" s="199">
        <f t="shared" si="128"/>
        <v>1.02</v>
      </c>
      <c r="BE135" s="235" t="s">
        <v>295</v>
      </c>
      <c r="BF135" s="446" t="s">
        <v>296</v>
      </c>
      <c r="BG135" s="446"/>
      <c r="BH135" s="22"/>
      <c r="BI135" s="200">
        <f t="shared" si="138"/>
        <v>1.02</v>
      </c>
      <c r="BJ135" s="200">
        <f t="shared" si="139"/>
        <v>0.11</v>
      </c>
      <c r="BK135" s="197">
        <f t="shared" si="140"/>
        <v>0.38</v>
      </c>
      <c r="BL135" s="197">
        <f t="shared" si="141"/>
        <v>0</v>
      </c>
      <c r="BM135" s="197">
        <f t="shared" si="142"/>
        <v>0.02</v>
      </c>
      <c r="BN135" s="201">
        <f t="shared" si="143"/>
        <v>1.12</v>
      </c>
      <c r="BO135" s="202">
        <f t="shared" si="144"/>
        <v>2.6500000000000004</v>
      </c>
      <c r="BP135" s="203">
        <f t="shared" si="145"/>
        <v>0.8</v>
      </c>
      <c r="BQ135" s="204">
        <f t="shared" si="146"/>
        <v>3.45</v>
      </c>
      <c r="BR135" s="205">
        <f t="shared" si="147"/>
        <v>0.18</v>
      </c>
      <c r="BS135" s="206">
        <f t="shared" si="148"/>
        <v>3.6300000000000003</v>
      </c>
      <c r="BT135" s="24"/>
    </row>
    <row r="136" spans="1:72" ht="17.25" customHeight="1">
      <c r="A136" s="24"/>
      <c r="B136" s="233" t="s">
        <v>297</v>
      </c>
      <c r="C136" s="234" t="s">
        <v>298</v>
      </c>
      <c r="D136" s="251"/>
      <c r="E136" s="255"/>
      <c r="F136" s="256"/>
      <c r="G136" s="253"/>
      <c r="H136" s="253"/>
      <c r="I136" s="254"/>
      <c r="J136" s="257"/>
      <c r="K136" s="255"/>
      <c r="L136" s="253"/>
      <c r="M136" s="253"/>
      <c r="N136" s="254"/>
      <c r="O136" s="220"/>
      <c r="P136" s="233" t="s">
        <v>297</v>
      </c>
      <c r="Q136" s="442" t="s">
        <v>298</v>
      </c>
      <c r="R136" s="442"/>
      <c r="S136" s="76"/>
      <c r="T136" s="219"/>
      <c r="U136" s="253"/>
      <c r="V136" s="253"/>
      <c r="W136" s="253"/>
      <c r="X136" s="253"/>
      <c r="Y136" s="253"/>
      <c r="Z136" s="253"/>
      <c r="AA136" s="253"/>
      <c r="AB136" s="253"/>
      <c r="AC136" s="253"/>
      <c r="AD136" s="253"/>
      <c r="AE136" s="220"/>
      <c r="AF136" s="24"/>
      <c r="AG136" s="233" t="s">
        <v>297</v>
      </c>
      <c r="AH136" s="442" t="s">
        <v>298</v>
      </c>
      <c r="AI136" s="442"/>
      <c r="AJ136" s="78"/>
      <c r="AK136" s="78"/>
      <c r="AL136" s="207"/>
      <c r="AM136" s="207"/>
      <c r="AN136" s="207"/>
      <c r="AO136" s="19"/>
      <c r="AP136" s="24"/>
      <c r="AQ136" s="233" t="s">
        <v>297</v>
      </c>
      <c r="AR136" s="442" t="s">
        <v>298</v>
      </c>
      <c r="AS136" s="442"/>
      <c r="AT136" s="29"/>
      <c r="AU136" s="256"/>
      <c r="AV136" s="254"/>
      <c r="AW136" s="254"/>
      <c r="AX136" s="254"/>
      <c r="AY136" s="255"/>
      <c r="AZ136" s="256"/>
      <c r="BA136" s="254"/>
      <c r="BB136" s="254"/>
      <c r="BC136" s="254"/>
      <c r="BD136" s="220"/>
      <c r="BE136" s="233" t="s">
        <v>297</v>
      </c>
      <c r="BF136" s="442" t="s">
        <v>298</v>
      </c>
      <c r="BG136" s="442"/>
      <c r="BH136" s="22"/>
      <c r="BI136" s="253"/>
      <c r="BJ136" s="253"/>
      <c r="BK136" s="253"/>
      <c r="BL136" s="253"/>
      <c r="BM136" s="253"/>
      <c r="BN136" s="253"/>
      <c r="BO136" s="253"/>
      <c r="BP136" s="253"/>
      <c r="BQ136" s="253"/>
      <c r="BR136" s="253"/>
      <c r="BS136" s="220"/>
      <c r="BT136" s="24"/>
    </row>
    <row r="137" spans="1:72" ht="18" customHeight="1">
      <c r="A137" s="24"/>
      <c r="B137" s="235" t="s">
        <v>899</v>
      </c>
      <c r="C137" s="236" t="s">
        <v>900</v>
      </c>
      <c r="D137" s="78" t="s">
        <v>53</v>
      </c>
      <c r="E137" s="190">
        <v>10</v>
      </c>
      <c r="F137" s="214">
        <f>$G$15</f>
        <v>0.0565</v>
      </c>
      <c r="G137" s="197">
        <f>ROUND(E137*F137,2)</f>
        <v>0.57</v>
      </c>
      <c r="H137" s="197">
        <f>ROUND(G137*($A$16+$A$17)/100,2)</f>
        <v>0</v>
      </c>
      <c r="I137" s="198">
        <f>SUM(G137:H137)</f>
        <v>0.57</v>
      </c>
      <c r="J137" s="257">
        <v>20</v>
      </c>
      <c r="K137" s="214">
        <f>$G$18</f>
        <v>0.0445</v>
      </c>
      <c r="L137" s="197">
        <f>ROUND(J137*K137,2)</f>
        <v>0.89</v>
      </c>
      <c r="M137" s="197">
        <f>ROUND(L137*($A$16+$A$17)/100,2)</f>
        <v>0</v>
      </c>
      <c r="N137" s="198">
        <f>SUM(L137:M137)</f>
        <v>0.89</v>
      </c>
      <c r="O137" s="199">
        <f>SUM(I137,N137)</f>
        <v>1.46</v>
      </c>
      <c r="P137" s="235" t="s">
        <v>299</v>
      </c>
      <c r="Q137" s="446" t="s">
        <v>300</v>
      </c>
      <c r="R137" s="446"/>
      <c r="S137" s="76"/>
      <c r="T137" s="22" t="s">
        <v>54</v>
      </c>
      <c r="U137" s="200">
        <f>O137</f>
        <v>1.46</v>
      </c>
      <c r="V137" s="200">
        <f>ROUND(U137*$S$19,2)</f>
        <v>0.15</v>
      </c>
      <c r="W137" s="197">
        <f>ROUND(SUM(U137:V137)*$AA$19,2)</f>
        <v>0.55</v>
      </c>
      <c r="X137" s="197">
        <f>ROUND(SUM(U137:V137)*$AA$21,2)</f>
        <v>0</v>
      </c>
      <c r="Y137" s="197">
        <f>ROUND(SUM(U137:V137)*$AA$20,2)</f>
        <v>0.02</v>
      </c>
      <c r="Z137" s="201">
        <f>ROUND(U137*$S$20,2)</f>
        <v>1.6</v>
      </c>
      <c r="AA137" s="202">
        <f>SUM(U137:Z137)</f>
        <v>3.7800000000000002</v>
      </c>
      <c r="AB137" s="203">
        <f>ROUND(AA137*$S$21,2)</f>
        <v>1.13</v>
      </c>
      <c r="AC137" s="204">
        <f>SUM(AA137:AB137)</f>
        <v>4.91</v>
      </c>
      <c r="AD137" s="205">
        <f>ROUND(AC137*$AD$19/95,2)</f>
        <v>0.26</v>
      </c>
      <c r="AE137" s="206">
        <f>SUM(AC137:AD137)</f>
        <v>5.17</v>
      </c>
      <c r="AF137" s="24"/>
      <c r="AG137" s="235" t="s">
        <v>299</v>
      </c>
      <c r="AH137" s="446" t="s">
        <v>300</v>
      </c>
      <c r="AI137" s="446"/>
      <c r="AJ137" s="78"/>
      <c r="AK137" s="78"/>
      <c r="AL137" s="207">
        <f t="shared" si="134"/>
        <v>5.17</v>
      </c>
      <c r="AM137" s="207"/>
      <c r="AN137" s="207">
        <f t="shared" si="135"/>
        <v>2.5999999999999996</v>
      </c>
      <c r="AO137" s="19"/>
      <c r="AP137" s="24"/>
      <c r="AQ137" s="235" t="s">
        <v>299</v>
      </c>
      <c r="AR137" s="446" t="s">
        <v>300</v>
      </c>
      <c r="AS137" s="446"/>
      <c r="AT137" s="29">
        <v>5</v>
      </c>
      <c r="AU137" s="214">
        <f t="shared" si="122"/>
        <v>0.0565</v>
      </c>
      <c r="AV137" s="269">
        <f t="shared" si="123"/>
        <v>0.28</v>
      </c>
      <c r="AW137" s="269">
        <f t="shared" si="136"/>
        <v>0</v>
      </c>
      <c r="AX137" s="198">
        <f t="shared" si="124"/>
        <v>0.28</v>
      </c>
      <c r="AY137" s="190">
        <v>10</v>
      </c>
      <c r="AZ137" s="214">
        <f t="shared" si="125"/>
        <v>0.0445</v>
      </c>
      <c r="BA137" s="269">
        <f t="shared" si="126"/>
        <v>0.45</v>
      </c>
      <c r="BB137" s="269">
        <f t="shared" si="137"/>
        <v>0</v>
      </c>
      <c r="BC137" s="198">
        <f t="shared" si="127"/>
        <v>0.45</v>
      </c>
      <c r="BD137" s="199">
        <f t="shared" si="128"/>
        <v>0.73</v>
      </c>
      <c r="BE137" s="235" t="s">
        <v>299</v>
      </c>
      <c r="BF137" s="446" t="s">
        <v>300</v>
      </c>
      <c r="BG137" s="446"/>
      <c r="BH137" s="22"/>
      <c r="BI137" s="200">
        <f t="shared" si="138"/>
        <v>0.73</v>
      </c>
      <c r="BJ137" s="200">
        <f t="shared" si="139"/>
        <v>0.08</v>
      </c>
      <c r="BK137" s="197">
        <f t="shared" si="140"/>
        <v>0.28</v>
      </c>
      <c r="BL137" s="197">
        <f t="shared" si="141"/>
        <v>0</v>
      </c>
      <c r="BM137" s="197">
        <f t="shared" si="142"/>
        <v>0.01</v>
      </c>
      <c r="BN137" s="201">
        <f t="shared" si="143"/>
        <v>0.8</v>
      </c>
      <c r="BO137" s="202">
        <f t="shared" si="144"/>
        <v>1.9</v>
      </c>
      <c r="BP137" s="203">
        <f t="shared" si="145"/>
        <v>0.57</v>
      </c>
      <c r="BQ137" s="204">
        <f t="shared" si="146"/>
        <v>2.4699999999999998</v>
      </c>
      <c r="BR137" s="205">
        <f t="shared" si="147"/>
        <v>0.13</v>
      </c>
      <c r="BS137" s="206">
        <f t="shared" si="148"/>
        <v>2.5999999999999996</v>
      </c>
      <c r="BT137" s="24"/>
    </row>
    <row r="138" spans="1:72" ht="15.75" customHeight="1">
      <c r="A138" s="24"/>
      <c r="B138" s="233" t="s">
        <v>902</v>
      </c>
      <c r="C138" s="234" t="s">
        <v>903</v>
      </c>
      <c r="D138" s="251"/>
      <c r="E138" s="255"/>
      <c r="F138" s="256"/>
      <c r="G138" s="253"/>
      <c r="H138" s="253"/>
      <c r="I138" s="254"/>
      <c r="J138" s="257"/>
      <c r="K138" s="255"/>
      <c r="L138" s="253"/>
      <c r="M138" s="253"/>
      <c r="N138" s="254"/>
      <c r="O138" s="220"/>
      <c r="P138" s="233" t="s">
        <v>301</v>
      </c>
      <c r="Q138" s="442" t="s">
        <v>302</v>
      </c>
      <c r="R138" s="442"/>
      <c r="S138" s="76"/>
      <c r="T138" s="219"/>
      <c r="U138" s="253"/>
      <c r="V138" s="253"/>
      <c r="W138" s="253"/>
      <c r="X138" s="253"/>
      <c r="Y138" s="253"/>
      <c r="Z138" s="253"/>
      <c r="AA138" s="253"/>
      <c r="AB138" s="253"/>
      <c r="AC138" s="253"/>
      <c r="AD138" s="253"/>
      <c r="AE138" s="220"/>
      <c r="AF138" s="24"/>
      <c r="AG138" s="233" t="s">
        <v>301</v>
      </c>
      <c r="AH138" s="442" t="s">
        <v>302</v>
      </c>
      <c r="AI138" s="442"/>
      <c r="AJ138" s="78"/>
      <c r="AK138" s="78"/>
      <c r="AL138" s="207"/>
      <c r="AM138" s="207"/>
      <c r="AN138" s="207"/>
      <c r="AO138" s="19"/>
      <c r="AP138" s="24"/>
      <c r="AQ138" s="233" t="s">
        <v>301</v>
      </c>
      <c r="AR138" s="442" t="s">
        <v>302</v>
      </c>
      <c r="AS138" s="442"/>
      <c r="AT138" s="29"/>
      <c r="AU138" s="256"/>
      <c r="AV138" s="254"/>
      <c r="AW138" s="254"/>
      <c r="AX138" s="254"/>
      <c r="AY138" s="255"/>
      <c r="AZ138" s="256"/>
      <c r="BA138" s="254"/>
      <c r="BB138" s="254"/>
      <c r="BC138" s="254"/>
      <c r="BD138" s="220"/>
      <c r="BE138" s="233" t="s">
        <v>301</v>
      </c>
      <c r="BF138" s="442" t="s">
        <v>302</v>
      </c>
      <c r="BG138" s="442"/>
      <c r="BH138" s="219"/>
      <c r="BI138" s="253"/>
      <c r="BJ138" s="253"/>
      <c r="BK138" s="253"/>
      <c r="BL138" s="253"/>
      <c r="BM138" s="253"/>
      <c r="BN138" s="253"/>
      <c r="BO138" s="253"/>
      <c r="BP138" s="253"/>
      <c r="BQ138" s="253"/>
      <c r="BR138" s="253"/>
      <c r="BS138" s="220"/>
      <c r="BT138" s="24"/>
    </row>
    <row r="139" spans="1:72" ht="19.5" customHeight="1">
      <c r="A139" s="84"/>
      <c r="B139" s="235" t="s">
        <v>904</v>
      </c>
      <c r="C139" s="236" t="s">
        <v>905</v>
      </c>
      <c r="D139" s="78" t="s">
        <v>53</v>
      </c>
      <c r="E139" s="190">
        <v>15</v>
      </c>
      <c r="F139" s="214">
        <f>$G$15</f>
        <v>0.0565</v>
      </c>
      <c r="G139" s="197">
        <f>ROUND(E139*F139,2)</f>
        <v>0.85</v>
      </c>
      <c r="H139" s="197">
        <f>ROUND(G139*($A$16+$A$17)/100,2)</f>
        <v>0</v>
      </c>
      <c r="I139" s="198">
        <f>SUM(G139:H139)</f>
        <v>0.85</v>
      </c>
      <c r="J139" s="257">
        <v>20</v>
      </c>
      <c r="K139" s="214">
        <f>$G$18</f>
        <v>0.0445</v>
      </c>
      <c r="L139" s="197">
        <f>ROUND(J139*K139,2)</f>
        <v>0.89</v>
      </c>
      <c r="M139" s="197">
        <f>ROUND(L139*($A$16+$A$17)/100,2)</f>
        <v>0</v>
      </c>
      <c r="N139" s="198">
        <f>SUM(L139:M139)</f>
        <v>0.89</v>
      </c>
      <c r="O139" s="199">
        <f>SUM(I139,N139)</f>
        <v>1.74</v>
      </c>
      <c r="P139" s="235" t="s">
        <v>303</v>
      </c>
      <c r="Q139" s="446" t="s">
        <v>304</v>
      </c>
      <c r="R139" s="446"/>
      <c r="S139" s="76"/>
      <c r="T139" s="22" t="s">
        <v>54</v>
      </c>
      <c r="U139" s="200">
        <f>O139</f>
        <v>1.74</v>
      </c>
      <c r="V139" s="200">
        <f>ROUND(U139*$S$19,2)</f>
        <v>0.18</v>
      </c>
      <c r="W139" s="197">
        <f>ROUND(SUM(U139:V139)*$AA$19,2)</f>
        <v>0.65</v>
      </c>
      <c r="X139" s="197">
        <f>ROUND(SUM(U139:V139)*$AA$21,2)</f>
        <v>0</v>
      </c>
      <c r="Y139" s="197">
        <f>ROUND(SUM(U139:V139)*$AA$20,2)</f>
        <v>0.03</v>
      </c>
      <c r="Z139" s="201">
        <f>ROUND(U139*$S$20,2)</f>
        <v>1.91</v>
      </c>
      <c r="AA139" s="202">
        <f>SUM(U139:Z139)</f>
        <v>4.51</v>
      </c>
      <c r="AB139" s="203">
        <f>ROUND(AA139*$S$21,2)</f>
        <v>1.35</v>
      </c>
      <c r="AC139" s="204">
        <f>SUM(AA139:AB139)</f>
        <v>5.859999999999999</v>
      </c>
      <c r="AD139" s="205">
        <f>ROUND(AC139*$AD$19/95,2)</f>
        <v>0.31</v>
      </c>
      <c r="AE139" s="206">
        <f>SUM(AC139:AD139)</f>
        <v>6.169999999999999</v>
      </c>
      <c r="AF139" s="84"/>
      <c r="AG139" s="235" t="s">
        <v>303</v>
      </c>
      <c r="AH139" s="446" t="s">
        <v>304</v>
      </c>
      <c r="AI139" s="446"/>
      <c r="AJ139" s="78" t="s">
        <v>54</v>
      </c>
      <c r="AK139" s="78"/>
      <c r="AL139" s="207">
        <f t="shared" si="134"/>
        <v>6.169999999999999</v>
      </c>
      <c r="AM139" s="207"/>
      <c r="AN139" s="207">
        <f t="shared" si="135"/>
        <v>3.6300000000000003</v>
      </c>
      <c r="AO139" s="19"/>
      <c r="AP139" s="84"/>
      <c r="AQ139" s="235" t="s">
        <v>303</v>
      </c>
      <c r="AR139" s="446" t="s">
        <v>304</v>
      </c>
      <c r="AS139" s="446"/>
      <c r="AT139" s="29">
        <v>10</v>
      </c>
      <c r="AU139" s="214">
        <f t="shared" si="122"/>
        <v>0.0565</v>
      </c>
      <c r="AV139" s="269">
        <f t="shared" si="123"/>
        <v>0.57</v>
      </c>
      <c r="AW139" s="269">
        <f t="shared" si="136"/>
        <v>0</v>
      </c>
      <c r="AX139" s="198">
        <f t="shared" si="124"/>
        <v>0.57</v>
      </c>
      <c r="AY139" s="190">
        <v>10</v>
      </c>
      <c r="AZ139" s="214">
        <f t="shared" si="125"/>
        <v>0.0445</v>
      </c>
      <c r="BA139" s="269">
        <f t="shared" si="126"/>
        <v>0.45</v>
      </c>
      <c r="BB139" s="269">
        <f t="shared" si="137"/>
        <v>0</v>
      </c>
      <c r="BC139" s="198">
        <f t="shared" si="127"/>
        <v>0.45</v>
      </c>
      <c r="BD139" s="199">
        <f t="shared" si="128"/>
        <v>1.02</v>
      </c>
      <c r="BE139" s="235" t="s">
        <v>303</v>
      </c>
      <c r="BF139" s="446" t="s">
        <v>304</v>
      </c>
      <c r="BG139" s="446"/>
      <c r="BH139" s="22" t="s">
        <v>54</v>
      </c>
      <c r="BI139" s="200">
        <f t="shared" si="138"/>
        <v>1.02</v>
      </c>
      <c r="BJ139" s="200">
        <f t="shared" si="139"/>
        <v>0.11</v>
      </c>
      <c r="BK139" s="197">
        <f t="shared" si="140"/>
        <v>0.38</v>
      </c>
      <c r="BL139" s="197">
        <f t="shared" si="141"/>
        <v>0</v>
      </c>
      <c r="BM139" s="197">
        <f t="shared" si="142"/>
        <v>0.02</v>
      </c>
      <c r="BN139" s="201">
        <f t="shared" si="143"/>
        <v>1.12</v>
      </c>
      <c r="BO139" s="202">
        <f t="shared" si="144"/>
        <v>2.6500000000000004</v>
      </c>
      <c r="BP139" s="203">
        <f t="shared" si="145"/>
        <v>0.8</v>
      </c>
      <c r="BQ139" s="204">
        <f t="shared" si="146"/>
        <v>3.45</v>
      </c>
      <c r="BR139" s="205">
        <f t="shared" si="147"/>
        <v>0.18</v>
      </c>
      <c r="BS139" s="206">
        <f t="shared" si="148"/>
        <v>3.6300000000000003</v>
      </c>
      <c r="BT139" s="84"/>
    </row>
    <row r="140" spans="1:72" ht="19.5" customHeight="1">
      <c r="A140" s="84"/>
      <c r="B140" s="315" t="s">
        <v>820</v>
      </c>
      <c r="C140" s="274" t="s">
        <v>310</v>
      </c>
      <c r="D140" s="78" t="s">
        <v>53</v>
      </c>
      <c r="E140" s="190">
        <v>15</v>
      </c>
      <c r="F140" s="214">
        <f>$G$15</f>
        <v>0.0565</v>
      </c>
      <c r="G140" s="197">
        <f>ROUND(E140*F140,2)</f>
        <v>0.85</v>
      </c>
      <c r="H140" s="197">
        <f>ROUND(G140*($A$16+$A$17)/100,2)</f>
        <v>0</v>
      </c>
      <c r="I140" s="198">
        <f>SUM(G140:H140)</f>
        <v>0.85</v>
      </c>
      <c r="J140" s="257">
        <v>40</v>
      </c>
      <c r="K140" s="214">
        <f>$G$18</f>
        <v>0.0445</v>
      </c>
      <c r="L140" s="197">
        <f>ROUND(J140*K140,2)</f>
        <v>1.78</v>
      </c>
      <c r="M140" s="197">
        <f>ROUND(L140*($A$16+$A$17)/100,2)</f>
        <v>0</v>
      </c>
      <c r="N140" s="198">
        <f>SUM(L140:M140)</f>
        <v>1.78</v>
      </c>
      <c r="O140" s="199">
        <f>SUM(I140,N140)</f>
        <v>2.63</v>
      </c>
      <c r="P140" s="235" t="s">
        <v>820</v>
      </c>
      <c r="Q140" s="274" t="s">
        <v>310</v>
      </c>
      <c r="R140" s="310"/>
      <c r="S140" s="76"/>
      <c r="T140" s="22" t="s">
        <v>54</v>
      </c>
      <c r="U140" s="200">
        <f>O140</f>
        <v>2.63</v>
      </c>
      <c r="V140" s="200">
        <f>ROUND(U140*$S$19,2)</f>
        <v>0.27</v>
      </c>
      <c r="W140" s="197">
        <f>ROUND(SUM(U140:V140)*$AA$19,2)</f>
        <v>0.99</v>
      </c>
      <c r="X140" s="197">
        <f>ROUND(SUM(U140:V140)*$AA$21,2)</f>
        <v>0</v>
      </c>
      <c r="Y140" s="197">
        <f>ROUND(SUM(U140:V140)*$AA$20,2)</f>
        <v>0.04</v>
      </c>
      <c r="Z140" s="201">
        <f>ROUND(U140*$S$20,2)</f>
        <v>2.89</v>
      </c>
      <c r="AA140" s="202">
        <f>SUM(U140:Z140)</f>
        <v>6.82</v>
      </c>
      <c r="AB140" s="203">
        <f>ROUND(AA140*$S$21,2)</f>
        <v>2.05</v>
      </c>
      <c r="AC140" s="204">
        <f>SUM(AA140:AB140)</f>
        <v>8.870000000000001</v>
      </c>
      <c r="AD140" s="205">
        <f>ROUND(AC140*$AD$19/95,2)</f>
        <v>0.47</v>
      </c>
      <c r="AE140" s="206">
        <f>SUM(AC140:AD140)</f>
        <v>9.340000000000002</v>
      </c>
      <c r="AF140" s="84"/>
      <c r="AG140" s="235" t="s">
        <v>820</v>
      </c>
      <c r="AH140" s="274" t="s">
        <v>310</v>
      </c>
      <c r="AI140" s="310"/>
      <c r="AJ140" s="78" t="s">
        <v>54</v>
      </c>
      <c r="AK140" s="78"/>
      <c r="AL140" s="207">
        <f>AE140</f>
        <v>9.340000000000002</v>
      </c>
      <c r="AM140" s="207"/>
      <c r="AN140" s="207">
        <f>BS140</f>
        <v>5.17</v>
      </c>
      <c r="AO140" s="19"/>
      <c r="AP140" s="84"/>
      <c r="AQ140" s="235" t="s">
        <v>820</v>
      </c>
      <c r="AR140" s="274" t="s">
        <v>310</v>
      </c>
      <c r="AS140" s="310"/>
      <c r="AT140" s="29">
        <v>10</v>
      </c>
      <c r="AU140" s="214">
        <f t="shared" si="122"/>
        <v>0.0565</v>
      </c>
      <c r="AV140" s="269">
        <f>ROUND(AT140*AU140,2)</f>
        <v>0.57</v>
      </c>
      <c r="AW140" s="269">
        <f>ROUND(AV140*($A$16+$A$17)/100,2)</f>
        <v>0</v>
      </c>
      <c r="AX140" s="198">
        <f>SUM(AV140:AW140)</f>
        <v>0.57</v>
      </c>
      <c r="AY140" s="190">
        <v>20</v>
      </c>
      <c r="AZ140" s="214">
        <f t="shared" si="125"/>
        <v>0.0445</v>
      </c>
      <c r="BA140" s="269">
        <f>ROUND(AY140*AZ140,2)</f>
        <v>0.89</v>
      </c>
      <c r="BB140" s="269">
        <f>ROUND(BA140*($A$16+$A$17)/100,2)</f>
        <v>0</v>
      </c>
      <c r="BC140" s="198">
        <f>SUM(BA140:BB140)</f>
        <v>0.89</v>
      </c>
      <c r="BD140" s="199">
        <f>SUM(AX140,BC140)</f>
        <v>1.46</v>
      </c>
      <c r="BE140" s="235" t="s">
        <v>820</v>
      </c>
      <c r="BF140" s="274" t="s">
        <v>310</v>
      </c>
      <c r="BG140" s="310"/>
      <c r="BH140" s="22" t="s">
        <v>54</v>
      </c>
      <c r="BI140" s="200">
        <f>BD140</f>
        <v>1.46</v>
      </c>
      <c r="BJ140" s="200">
        <f>ROUND(BI140*$S$19,2)</f>
        <v>0.15</v>
      </c>
      <c r="BK140" s="197">
        <f>ROUND(SUM(BI140:BJ140)*$AA$19,2)</f>
        <v>0.55</v>
      </c>
      <c r="BL140" s="197">
        <f>ROUND(SUM(BI140:BJ140)*$AA$21,2)</f>
        <v>0</v>
      </c>
      <c r="BM140" s="197">
        <f>ROUND(SUM(BI140:BJ140)*$AA$20,2)</f>
        <v>0.02</v>
      </c>
      <c r="BN140" s="201">
        <f>ROUND(BI140*$S$20,2)</f>
        <v>1.6</v>
      </c>
      <c r="BO140" s="202">
        <f>SUM(BI140:BN140)</f>
        <v>3.7800000000000002</v>
      </c>
      <c r="BP140" s="203">
        <f>ROUND(BO140*$S$21,2)</f>
        <v>1.13</v>
      </c>
      <c r="BQ140" s="204">
        <f>SUM(BO140:BP140)</f>
        <v>4.91</v>
      </c>
      <c r="BR140" s="205">
        <f>ROUND(BQ140*$AD$19/95,2)</f>
        <v>0.26</v>
      </c>
      <c r="BS140" s="206">
        <f>SUM(BQ140:BR140)</f>
        <v>5.17</v>
      </c>
      <c r="BT140" s="84"/>
    </row>
    <row r="141" spans="1:72" ht="13.5" customHeight="1">
      <c r="A141" s="84"/>
      <c r="B141" s="315" t="s">
        <v>907</v>
      </c>
      <c r="C141" s="282" t="s">
        <v>908</v>
      </c>
      <c r="D141" s="78" t="s">
        <v>53</v>
      </c>
      <c r="E141" s="190">
        <v>15</v>
      </c>
      <c r="F141" s="214">
        <f>$G$15</f>
        <v>0.0565</v>
      </c>
      <c r="G141" s="197">
        <f>ROUND(E141*F141,2)</f>
        <v>0.85</v>
      </c>
      <c r="H141" s="197">
        <f>ROUND(G141*($A$16+$A$17)/100,2)</f>
        <v>0</v>
      </c>
      <c r="I141" s="198">
        <f>SUM(G141:H141)</f>
        <v>0.85</v>
      </c>
      <c r="J141" s="257">
        <v>30</v>
      </c>
      <c r="K141" s="214">
        <f>$G$18</f>
        <v>0.0445</v>
      </c>
      <c r="L141" s="197">
        <f>ROUND(J141*K141,2)</f>
        <v>1.34</v>
      </c>
      <c r="M141" s="197">
        <f>ROUND(L141*($A$16+$A$17)/100,2)</f>
        <v>0</v>
      </c>
      <c r="N141" s="198">
        <f>SUM(L141:M141)</f>
        <v>1.34</v>
      </c>
      <c r="O141" s="199">
        <f>SUM(I141,N141)</f>
        <v>2.19</v>
      </c>
      <c r="P141" s="315" t="s">
        <v>907</v>
      </c>
      <c r="Q141" s="282" t="s">
        <v>908</v>
      </c>
      <c r="R141" s="324"/>
      <c r="S141" s="76"/>
      <c r="T141" s="22" t="s">
        <v>54</v>
      </c>
      <c r="U141" s="200">
        <f>O141</f>
        <v>2.19</v>
      </c>
      <c r="V141" s="200">
        <f>ROUND(U141*$S$19,2)</f>
        <v>0.23</v>
      </c>
      <c r="W141" s="197">
        <f>ROUND(SUM(U141:V141)*$AA$19,2)</f>
        <v>0.82</v>
      </c>
      <c r="X141" s="197">
        <f>ROUND(SUM(U141:V141)*$AA$21,2)</f>
        <v>0</v>
      </c>
      <c r="Y141" s="197">
        <f>ROUND(SUM(U141:V141)*$AA$20,2)</f>
        <v>0.04</v>
      </c>
      <c r="Z141" s="201">
        <f>ROUND(U141*$S$20,2)</f>
        <v>2.4</v>
      </c>
      <c r="AA141" s="202">
        <f>SUM(U141:Z141)</f>
        <v>5.68</v>
      </c>
      <c r="AB141" s="203">
        <f>ROUND(AA141*$S$21,2)</f>
        <v>1.7</v>
      </c>
      <c r="AC141" s="204">
        <f>SUM(AA141:AB141)</f>
        <v>7.38</v>
      </c>
      <c r="AD141" s="205">
        <f>ROUND(AC141*$AD$19/95,2)</f>
        <v>0.39</v>
      </c>
      <c r="AE141" s="206">
        <f>SUM(AC141:AD141)</f>
        <v>7.77</v>
      </c>
      <c r="AF141" s="84"/>
      <c r="AG141" s="315" t="s">
        <v>907</v>
      </c>
      <c r="AH141" s="282" t="s">
        <v>908</v>
      </c>
      <c r="AI141" s="324"/>
      <c r="AJ141" s="78" t="s">
        <v>54</v>
      </c>
      <c r="AK141" s="78"/>
      <c r="AL141" s="207">
        <f>AE141</f>
        <v>7.77</v>
      </c>
      <c r="AM141" s="207"/>
      <c r="AN141" s="207">
        <f>BS141</f>
        <v>5.17</v>
      </c>
      <c r="AO141" s="19"/>
      <c r="AP141" s="84"/>
      <c r="AQ141" s="315" t="s">
        <v>907</v>
      </c>
      <c r="AR141" s="282" t="s">
        <v>908</v>
      </c>
      <c r="AS141" s="324"/>
      <c r="AT141" s="29">
        <v>10</v>
      </c>
      <c r="AU141" s="214">
        <f t="shared" si="122"/>
        <v>0.0565</v>
      </c>
      <c r="AV141" s="269">
        <f>ROUND(AT141*AU141,2)</f>
        <v>0.57</v>
      </c>
      <c r="AW141" s="269">
        <f>ROUND(AV141*($A$16+$A$17)/100,2)</f>
        <v>0</v>
      </c>
      <c r="AX141" s="198">
        <f>SUM(AV141:AW141)</f>
        <v>0.57</v>
      </c>
      <c r="AY141" s="190">
        <v>20</v>
      </c>
      <c r="AZ141" s="214">
        <f t="shared" si="125"/>
        <v>0.0445</v>
      </c>
      <c r="BA141" s="269">
        <f>ROUND(AY141*AZ141,2)</f>
        <v>0.89</v>
      </c>
      <c r="BB141" s="269">
        <f>ROUND(BA141*($A$16+$A$17)/100,2)</f>
        <v>0</v>
      </c>
      <c r="BC141" s="198">
        <f>SUM(BA141:BB141)</f>
        <v>0.89</v>
      </c>
      <c r="BD141" s="199">
        <f>SUM(AX141,BC141)</f>
        <v>1.46</v>
      </c>
      <c r="BE141" s="315" t="s">
        <v>907</v>
      </c>
      <c r="BF141" s="282" t="s">
        <v>908</v>
      </c>
      <c r="BG141" s="324"/>
      <c r="BH141" s="22" t="s">
        <v>54</v>
      </c>
      <c r="BI141" s="200">
        <f>BD141</f>
        <v>1.46</v>
      </c>
      <c r="BJ141" s="200">
        <f>ROUND(BI141*$S$19,2)</f>
        <v>0.15</v>
      </c>
      <c r="BK141" s="197">
        <f>ROUND(SUM(BI141:BJ141)*$AA$19,2)</f>
        <v>0.55</v>
      </c>
      <c r="BL141" s="197">
        <f>ROUND(SUM(BI141:BJ141)*$AA$21,2)</f>
        <v>0</v>
      </c>
      <c r="BM141" s="197">
        <f>ROUND(SUM(BI141:BJ141)*$AA$20,2)</f>
        <v>0.02</v>
      </c>
      <c r="BN141" s="201">
        <f>ROUND(BI141*$S$20,2)</f>
        <v>1.6</v>
      </c>
      <c r="BO141" s="202">
        <f>SUM(BI141:BN141)</f>
        <v>3.7800000000000002</v>
      </c>
      <c r="BP141" s="203">
        <f>ROUND(BO141*$S$21,2)</f>
        <v>1.13</v>
      </c>
      <c r="BQ141" s="204">
        <f>SUM(BO141:BP141)</f>
        <v>4.91</v>
      </c>
      <c r="BR141" s="205">
        <f>ROUND(BQ141*$AD$19/95,2)</f>
        <v>0.26</v>
      </c>
      <c r="BS141" s="206">
        <f>SUM(BQ141:BR141)</f>
        <v>5.17</v>
      </c>
      <c r="BT141" s="84"/>
    </row>
    <row r="142" spans="1:72" ht="13.5" customHeight="1">
      <c r="A142" s="84"/>
      <c r="B142" s="315" t="s">
        <v>912</v>
      </c>
      <c r="C142" s="282" t="s">
        <v>913</v>
      </c>
      <c r="D142" s="78" t="s">
        <v>53</v>
      </c>
      <c r="E142" s="190">
        <v>60</v>
      </c>
      <c r="F142" s="214">
        <f>$G$15</f>
        <v>0.0565</v>
      </c>
      <c r="G142" s="197">
        <f>ROUND(E142*F142,2)</f>
        <v>3.39</v>
      </c>
      <c r="H142" s="197">
        <f>ROUND(G142*($A$16+$A$17)/100,2)</f>
        <v>0</v>
      </c>
      <c r="I142" s="198">
        <f>SUM(G142:H142)</f>
        <v>3.39</v>
      </c>
      <c r="J142" s="257">
        <v>30</v>
      </c>
      <c r="K142" s="214">
        <f>$G$18</f>
        <v>0.0445</v>
      </c>
      <c r="L142" s="197">
        <f>ROUND(J142*K142,2)</f>
        <v>1.34</v>
      </c>
      <c r="M142" s="197">
        <f>ROUND(L142*($A$16+$A$17)/100,2)</f>
        <v>0</v>
      </c>
      <c r="N142" s="198">
        <f>SUM(L142:M142)</f>
        <v>1.34</v>
      </c>
      <c r="O142" s="199">
        <f>SUM(I142,N142)</f>
        <v>4.73</v>
      </c>
      <c r="P142" s="315" t="s">
        <v>912</v>
      </c>
      <c r="Q142" s="282" t="s">
        <v>913</v>
      </c>
      <c r="R142" s="324"/>
      <c r="S142" s="76"/>
      <c r="T142" s="22" t="s">
        <v>54</v>
      </c>
      <c r="U142" s="200">
        <f>O142</f>
        <v>4.73</v>
      </c>
      <c r="V142" s="200">
        <f>ROUND(U142*$S$19,2)</f>
        <v>0.49</v>
      </c>
      <c r="W142" s="197">
        <f>ROUND(SUM(U142:V142)*$AA$19,2)</f>
        <v>1.77</v>
      </c>
      <c r="X142" s="197">
        <f>ROUND(SUM(U142:V142)*$AA$21,2)</f>
        <v>0</v>
      </c>
      <c r="Y142" s="197">
        <f>ROUND(SUM(U142:V142)*$AA$20,2)</f>
        <v>0.08</v>
      </c>
      <c r="Z142" s="201">
        <f>ROUND(U142*$S$20,2)</f>
        <v>5.19</v>
      </c>
      <c r="AA142" s="202">
        <f>SUM(U142:Z142)</f>
        <v>12.260000000000002</v>
      </c>
      <c r="AB142" s="203">
        <f>ROUND(AA142*$S$21,2)</f>
        <v>3.68</v>
      </c>
      <c r="AC142" s="204">
        <f>SUM(AA142:AB142)</f>
        <v>15.940000000000001</v>
      </c>
      <c r="AD142" s="205">
        <f>ROUND(AC142*$AD$19/95,2)</f>
        <v>0.84</v>
      </c>
      <c r="AE142" s="206">
        <f>SUM(AC142:AD142)</f>
        <v>16.78</v>
      </c>
      <c r="AF142" s="84"/>
      <c r="AG142" s="315" t="s">
        <v>912</v>
      </c>
      <c r="AH142" s="282" t="s">
        <v>913</v>
      </c>
      <c r="AI142" s="324"/>
      <c r="AJ142" s="78" t="s">
        <v>54</v>
      </c>
      <c r="AK142" s="78"/>
      <c r="AL142" s="207">
        <f>AE142</f>
        <v>16.78</v>
      </c>
      <c r="AM142" s="207"/>
      <c r="AN142" s="207">
        <f>BS142</f>
        <v>9.18</v>
      </c>
      <c r="AO142" s="19"/>
      <c r="AP142" s="84"/>
      <c r="AQ142" s="315" t="s">
        <v>912</v>
      </c>
      <c r="AR142" s="282" t="s">
        <v>913</v>
      </c>
      <c r="AS142" s="324"/>
      <c r="AT142" s="29">
        <v>30</v>
      </c>
      <c r="AU142" s="214">
        <f t="shared" si="122"/>
        <v>0.0565</v>
      </c>
      <c r="AV142" s="269">
        <f>ROUND(AT142*AU142,2)</f>
        <v>1.7</v>
      </c>
      <c r="AW142" s="269">
        <f>ROUND(AV142*($A$16+$A$17)/100,2)</f>
        <v>0</v>
      </c>
      <c r="AX142" s="198">
        <f>SUM(AV142:AW142)</f>
        <v>1.7</v>
      </c>
      <c r="AY142" s="190">
        <v>20</v>
      </c>
      <c r="AZ142" s="214">
        <f t="shared" si="125"/>
        <v>0.0445</v>
      </c>
      <c r="BA142" s="269">
        <f>ROUND(AY142*AZ142,2)</f>
        <v>0.89</v>
      </c>
      <c r="BB142" s="269">
        <f>ROUND(BA142*($A$16+$A$17)/100,2)</f>
        <v>0</v>
      </c>
      <c r="BC142" s="198">
        <f>SUM(BA142:BB142)</f>
        <v>0.89</v>
      </c>
      <c r="BD142" s="199">
        <f>SUM(AX142,BC142)</f>
        <v>2.59</v>
      </c>
      <c r="BE142" s="315" t="s">
        <v>912</v>
      </c>
      <c r="BF142" s="282" t="s">
        <v>913</v>
      </c>
      <c r="BG142" s="324"/>
      <c r="BH142" s="22" t="s">
        <v>54</v>
      </c>
      <c r="BI142" s="200">
        <f>BD142</f>
        <v>2.59</v>
      </c>
      <c r="BJ142" s="200">
        <f>ROUND(BI142*$S$19,2)</f>
        <v>0.27</v>
      </c>
      <c r="BK142" s="197">
        <f>ROUND(SUM(BI142:BJ142)*$AA$19,2)</f>
        <v>0.97</v>
      </c>
      <c r="BL142" s="197">
        <f>ROUND(SUM(BI142:BJ142)*$AA$21,2)</f>
        <v>0</v>
      </c>
      <c r="BM142" s="197">
        <f>ROUND(SUM(BI142:BJ142)*$AA$20,2)</f>
        <v>0.04</v>
      </c>
      <c r="BN142" s="201">
        <f>ROUND(BI142*$S$20,2)</f>
        <v>2.84</v>
      </c>
      <c r="BO142" s="202">
        <f>SUM(BI142:BN142)</f>
        <v>6.71</v>
      </c>
      <c r="BP142" s="203">
        <f>ROUND(BO142*$S$21,2)</f>
        <v>2.01</v>
      </c>
      <c r="BQ142" s="204">
        <f>SUM(BO142:BP142)</f>
        <v>8.719999999999999</v>
      </c>
      <c r="BR142" s="205">
        <f>ROUND(BQ142*$AD$19/95,2)</f>
        <v>0.46</v>
      </c>
      <c r="BS142" s="206">
        <f>SUM(BQ142:BR142)</f>
        <v>9.18</v>
      </c>
      <c r="BT142" s="84"/>
    </row>
    <row r="143" spans="1:72" ht="19.5" customHeight="1">
      <c r="A143" s="84"/>
      <c r="B143" s="315"/>
      <c r="C143" s="274"/>
      <c r="D143" s="78"/>
      <c r="E143" s="190"/>
      <c r="F143" s="214"/>
      <c r="G143" s="197"/>
      <c r="H143" s="197"/>
      <c r="I143" s="198"/>
      <c r="J143" s="257"/>
      <c r="K143" s="214"/>
      <c r="L143" s="197"/>
      <c r="M143" s="197"/>
      <c r="N143" s="198"/>
      <c r="O143" s="199"/>
      <c r="P143" s="235"/>
      <c r="Q143" s="274"/>
      <c r="R143" s="324"/>
      <c r="S143" s="76"/>
      <c r="T143" s="22"/>
      <c r="U143" s="200"/>
      <c r="V143" s="200"/>
      <c r="W143" s="197"/>
      <c r="X143" s="197"/>
      <c r="Y143" s="197"/>
      <c r="Z143" s="201"/>
      <c r="AA143" s="202"/>
      <c r="AB143" s="203"/>
      <c r="AC143" s="204"/>
      <c r="AD143" s="205"/>
      <c r="AE143" s="206"/>
      <c r="AF143" s="84"/>
      <c r="AG143" s="235"/>
      <c r="AH143" s="274"/>
      <c r="AI143" s="324"/>
      <c r="AJ143" s="78"/>
      <c r="AK143" s="78"/>
      <c r="AL143" s="207"/>
      <c r="AM143" s="207"/>
      <c r="AN143" s="207"/>
      <c r="AO143" s="19"/>
      <c r="AP143" s="84"/>
      <c r="AQ143" s="235"/>
      <c r="AR143" s="274"/>
      <c r="AS143" s="324"/>
      <c r="AT143" s="29"/>
      <c r="AU143" s="214"/>
      <c r="AV143" s="269"/>
      <c r="AW143" s="269"/>
      <c r="AX143" s="198"/>
      <c r="AY143" s="190"/>
      <c r="AZ143" s="214"/>
      <c r="BA143" s="269"/>
      <c r="BB143" s="269"/>
      <c r="BC143" s="198"/>
      <c r="BD143" s="199"/>
      <c r="BE143" s="235"/>
      <c r="BF143" s="274"/>
      <c r="BG143" s="324"/>
      <c r="BH143" s="22"/>
      <c r="BI143" s="200"/>
      <c r="BJ143" s="200"/>
      <c r="BK143" s="197"/>
      <c r="BL143" s="197"/>
      <c r="BM143" s="197"/>
      <c r="BN143" s="201"/>
      <c r="BO143" s="202"/>
      <c r="BP143" s="203"/>
      <c r="BQ143" s="204"/>
      <c r="BR143" s="205"/>
      <c r="BS143" s="206"/>
      <c r="BT143" s="84"/>
    </row>
    <row r="144" spans="1:72" ht="20.25" customHeight="1">
      <c r="A144" s="84"/>
      <c r="B144" s="233" t="s">
        <v>305</v>
      </c>
      <c r="C144" s="234" t="s">
        <v>306</v>
      </c>
      <c r="D144" s="251"/>
      <c r="E144" s="255"/>
      <c r="F144" s="256"/>
      <c r="G144" s="253"/>
      <c r="H144" s="253"/>
      <c r="I144" s="254"/>
      <c r="J144" s="257"/>
      <c r="K144" s="255"/>
      <c r="L144" s="253"/>
      <c r="M144" s="253"/>
      <c r="N144" s="254"/>
      <c r="O144" s="220"/>
      <c r="P144" s="233" t="s">
        <v>305</v>
      </c>
      <c r="Q144" s="442" t="s">
        <v>306</v>
      </c>
      <c r="R144" s="442"/>
      <c r="S144" s="76"/>
      <c r="T144" s="219"/>
      <c r="U144" s="253"/>
      <c r="V144" s="253"/>
      <c r="W144" s="253"/>
      <c r="X144" s="253"/>
      <c r="Y144" s="253"/>
      <c r="Z144" s="253"/>
      <c r="AA144" s="253"/>
      <c r="AB144" s="253"/>
      <c r="AC144" s="253"/>
      <c r="AD144" s="253"/>
      <c r="AE144" s="220"/>
      <c r="AF144" s="84"/>
      <c r="AG144" s="233" t="s">
        <v>305</v>
      </c>
      <c r="AH144" s="442" t="s">
        <v>306</v>
      </c>
      <c r="AI144" s="442"/>
      <c r="AJ144" s="78"/>
      <c r="AK144" s="78"/>
      <c r="AL144" s="207"/>
      <c r="AM144" s="207"/>
      <c r="AN144" s="207"/>
      <c r="AO144" s="19"/>
      <c r="AP144" s="84"/>
      <c r="AQ144" s="233" t="s">
        <v>305</v>
      </c>
      <c r="AR144" s="442" t="s">
        <v>306</v>
      </c>
      <c r="AS144" s="442"/>
      <c r="AT144" s="29"/>
      <c r="AU144" s="256"/>
      <c r="AV144" s="254"/>
      <c r="AW144" s="254"/>
      <c r="AX144" s="254"/>
      <c r="AY144" s="255"/>
      <c r="AZ144" s="256"/>
      <c r="BA144" s="254"/>
      <c r="BB144" s="254"/>
      <c r="BC144" s="254"/>
      <c r="BD144" s="220"/>
      <c r="BE144" s="233" t="s">
        <v>305</v>
      </c>
      <c r="BF144" s="442" t="s">
        <v>306</v>
      </c>
      <c r="BG144" s="442"/>
      <c r="BH144" s="219"/>
      <c r="BI144" s="253"/>
      <c r="BJ144" s="253"/>
      <c r="BK144" s="253"/>
      <c r="BL144" s="253"/>
      <c r="BM144" s="253"/>
      <c r="BN144" s="253"/>
      <c r="BO144" s="253"/>
      <c r="BP144" s="253"/>
      <c r="BQ144" s="253"/>
      <c r="BR144" s="253"/>
      <c r="BS144" s="220"/>
      <c r="BT144" s="84"/>
    </row>
    <row r="145" spans="1:72" ht="18.75" customHeight="1">
      <c r="A145" s="191"/>
      <c r="B145" s="235" t="s">
        <v>307</v>
      </c>
      <c r="C145" s="236" t="s">
        <v>308</v>
      </c>
      <c r="D145" s="78" t="s">
        <v>53</v>
      </c>
      <c r="E145" s="190">
        <v>15</v>
      </c>
      <c r="F145" s="214">
        <f>$G$15</f>
        <v>0.0565</v>
      </c>
      <c r="G145" s="197">
        <f>ROUND(E145*F145,2)</f>
        <v>0.85</v>
      </c>
      <c r="H145" s="197">
        <f>ROUND(G145*($A$16+$A$17)/100,2)</f>
        <v>0</v>
      </c>
      <c r="I145" s="198">
        <f>SUM(G145:H145)</f>
        <v>0.85</v>
      </c>
      <c r="J145" s="257">
        <v>25</v>
      </c>
      <c r="K145" s="214">
        <f>$G$18</f>
        <v>0.0445</v>
      </c>
      <c r="L145" s="197">
        <f>ROUND(J145*K145,2)</f>
        <v>1.11</v>
      </c>
      <c r="M145" s="197">
        <f>ROUND(L145*($A$16+$A$17)/100,2)</f>
        <v>0</v>
      </c>
      <c r="N145" s="198">
        <f>SUM(L145:M145)</f>
        <v>1.11</v>
      </c>
      <c r="O145" s="199">
        <f>SUM(I145,N145)</f>
        <v>1.96</v>
      </c>
      <c r="P145" s="235" t="s">
        <v>307</v>
      </c>
      <c r="Q145" s="446" t="s">
        <v>308</v>
      </c>
      <c r="R145" s="446"/>
      <c r="S145" s="76"/>
      <c r="T145" s="22" t="s">
        <v>54</v>
      </c>
      <c r="U145" s="200">
        <f>O145</f>
        <v>1.96</v>
      </c>
      <c r="V145" s="200">
        <f>ROUND(U145*$S$19,2)</f>
        <v>0.2</v>
      </c>
      <c r="W145" s="197">
        <f>ROUND(SUM(U145:V145)*$AA$19,2)</f>
        <v>0.73</v>
      </c>
      <c r="X145" s="197">
        <f>ROUND(SUM(U145:V145)*$AA$21,2)</f>
        <v>0</v>
      </c>
      <c r="Y145" s="197">
        <f>ROUND(SUM(U145:V145)*$AA$20,2)</f>
        <v>0.03</v>
      </c>
      <c r="Z145" s="201">
        <f>ROUND(U145*$S$20,2)</f>
        <v>2.15</v>
      </c>
      <c r="AA145" s="202">
        <f>SUM(U145:Z145)</f>
        <v>5.07</v>
      </c>
      <c r="AB145" s="203">
        <f>ROUND(AA145*$S$21,2)</f>
        <v>1.52</v>
      </c>
      <c r="AC145" s="204">
        <f>SUM(AA145:AB145)</f>
        <v>6.59</v>
      </c>
      <c r="AD145" s="205">
        <f>ROUND(AC145*$AD$19/95,2)</f>
        <v>0.35</v>
      </c>
      <c r="AE145" s="206">
        <f>SUM(AC145:AD145)</f>
        <v>6.9399999999999995</v>
      </c>
      <c r="AF145" s="84"/>
      <c r="AG145" s="235" t="s">
        <v>307</v>
      </c>
      <c r="AH145" s="446" t="s">
        <v>308</v>
      </c>
      <c r="AI145" s="446"/>
      <c r="AJ145" s="78" t="s">
        <v>54</v>
      </c>
      <c r="AK145" s="78"/>
      <c r="AL145" s="207">
        <f t="shared" si="134"/>
        <v>6.9399999999999995</v>
      </c>
      <c r="AM145" s="207"/>
      <c r="AN145" s="207">
        <f t="shared" si="135"/>
        <v>5.96</v>
      </c>
      <c r="AO145" s="19"/>
      <c r="AP145" s="84"/>
      <c r="AQ145" s="235" t="s">
        <v>307</v>
      </c>
      <c r="AR145" s="446" t="s">
        <v>308</v>
      </c>
      <c r="AS145" s="446"/>
      <c r="AT145" s="29">
        <v>10</v>
      </c>
      <c r="AU145" s="214">
        <f t="shared" si="122"/>
        <v>0.0565</v>
      </c>
      <c r="AV145" s="269">
        <f t="shared" si="123"/>
        <v>0.57</v>
      </c>
      <c r="AW145" s="269">
        <f t="shared" si="136"/>
        <v>0</v>
      </c>
      <c r="AX145" s="198">
        <f t="shared" si="124"/>
        <v>0.57</v>
      </c>
      <c r="AY145" s="190">
        <v>25</v>
      </c>
      <c r="AZ145" s="214">
        <f t="shared" si="125"/>
        <v>0.0445</v>
      </c>
      <c r="BA145" s="269">
        <f t="shared" si="126"/>
        <v>1.11</v>
      </c>
      <c r="BB145" s="269">
        <f t="shared" si="137"/>
        <v>0</v>
      </c>
      <c r="BC145" s="198">
        <f t="shared" si="127"/>
        <v>1.11</v>
      </c>
      <c r="BD145" s="199">
        <f t="shared" si="128"/>
        <v>1.6800000000000002</v>
      </c>
      <c r="BE145" s="235" t="s">
        <v>307</v>
      </c>
      <c r="BF145" s="446" t="s">
        <v>308</v>
      </c>
      <c r="BG145" s="446"/>
      <c r="BH145" s="22" t="s">
        <v>54</v>
      </c>
      <c r="BI145" s="200">
        <f t="shared" si="138"/>
        <v>1.6800000000000002</v>
      </c>
      <c r="BJ145" s="200">
        <f t="shared" si="139"/>
        <v>0.17</v>
      </c>
      <c r="BK145" s="197">
        <f t="shared" si="140"/>
        <v>0.63</v>
      </c>
      <c r="BL145" s="197">
        <f t="shared" si="141"/>
        <v>0</v>
      </c>
      <c r="BM145" s="197">
        <f t="shared" si="142"/>
        <v>0.03</v>
      </c>
      <c r="BN145" s="201">
        <f t="shared" si="143"/>
        <v>1.84</v>
      </c>
      <c r="BO145" s="202">
        <f t="shared" si="144"/>
        <v>4.35</v>
      </c>
      <c r="BP145" s="203">
        <f t="shared" si="145"/>
        <v>1.31</v>
      </c>
      <c r="BQ145" s="204">
        <f t="shared" si="146"/>
        <v>5.66</v>
      </c>
      <c r="BR145" s="205">
        <f t="shared" si="147"/>
        <v>0.3</v>
      </c>
      <c r="BS145" s="206">
        <f t="shared" si="148"/>
        <v>5.96</v>
      </c>
      <c r="BT145" s="84"/>
    </row>
    <row r="146" spans="1:72" ht="18" customHeight="1">
      <c r="A146" s="84"/>
      <c r="B146" s="235" t="s">
        <v>309</v>
      </c>
      <c r="C146" s="236" t="s">
        <v>310</v>
      </c>
      <c r="D146" s="78" t="s">
        <v>53</v>
      </c>
      <c r="E146" s="190">
        <v>15</v>
      </c>
      <c r="F146" s="214">
        <f>$G$15</f>
        <v>0.0565</v>
      </c>
      <c r="G146" s="197">
        <f>ROUND(E146*F146,2)</f>
        <v>0.85</v>
      </c>
      <c r="H146" s="197">
        <f>ROUND(G146*($A$16+$A$17)/100,2)</f>
        <v>0</v>
      </c>
      <c r="I146" s="198">
        <f>SUM(G146:H146)</f>
        <v>0.85</v>
      </c>
      <c r="J146" s="257">
        <v>40</v>
      </c>
      <c r="K146" s="214">
        <f>$G$18</f>
        <v>0.0445</v>
      </c>
      <c r="L146" s="197">
        <f>ROUND(J146*K146,2)</f>
        <v>1.78</v>
      </c>
      <c r="M146" s="197">
        <f>ROUND(L146*($A$16+$A$17)/100,2)</f>
        <v>0</v>
      </c>
      <c r="N146" s="198">
        <f>SUM(L146:M146)</f>
        <v>1.78</v>
      </c>
      <c r="O146" s="199">
        <f>SUM(I146,N146)</f>
        <v>2.63</v>
      </c>
      <c r="P146" s="235" t="s">
        <v>309</v>
      </c>
      <c r="Q146" s="446" t="s">
        <v>310</v>
      </c>
      <c r="R146" s="446"/>
      <c r="S146" s="76"/>
      <c r="T146" s="22" t="s">
        <v>54</v>
      </c>
      <c r="U146" s="200">
        <f>O146</f>
        <v>2.63</v>
      </c>
      <c r="V146" s="200">
        <f>ROUND(U146*$S$19,2)</f>
        <v>0.27</v>
      </c>
      <c r="W146" s="197">
        <f>ROUND(SUM(U146:V146)*$AA$19,2)</f>
        <v>0.99</v>
      </c>
      <c r="X146" s="197">
        <f>ROUND(SUM(U146:V146)*$AA$21,2)</f>
        <v>0</v>
      </c>
      <c r="Y146" s="197">
        <f>ROUND(SUM(U146:V146)*$AA$20,2)</f>
        <v>0.04</v>
      </c>
      <c r="Z146" s="201">
        <f>ROUND(U146*$S$20,2)</f>
        <v>2.89</v>
      </c>
      <c r="AA146" s="202">
        <f>SUM(U146:Z146)</f>
        <v>6.82</v>
      </c>
      <c r="AB146" s="203">
        <f>ROUND(AA146*$S$21,2)</f>
        <v>2.05</v>
      </c>
      <c r="AC146" s="204">
        <f>SUM(AA146:AB146)</f>
        <v>8.870000000000001</v>
      </c>
      <c r="AD146" s="205">
        <f>ROUND(AC146*$AD$19/95,2)</f>
        <v>0.47</v>
      </c>
      <c r="AE146" s="206">
        <f>SUM(AC146:AD146)</f>
        <v>9.340000000000002</v>
      </c>
      <c r="AF146" s="84"/>
      <c r="AG146" s="235" t="s">
        <v>309</v>
      </c>
      <c r="AH146" s="446" t="s">
        <v>310</v>
      </c>
      <c r="AI146" s="446"/>
      <c r="AJ146" s="78" t="s">
        <v>54</v>
      </c>
      <c r="AK146" s="78"/>
      <c r="AL146" s="207">
        <f t="shared" si="134"/>
        <v>9.340000000000002</v>
      </c>
      <c r="AM146" s="207"/>
      <c r="AN146" s="207">
        <f t="shared" si="135"/>
        <v>5.17</v>
      </c>
      <c r="AO146" s="19"/>
      <c r="AP146" s="84"/>
      <c r="AQ146" s="235" t="s">
        <v>309</v>
      </c>
      <c r="AR146" s="446" t="s">
        <v>310</v>
      </c>
      <c r="AS146" s="446"/>
      <c r="AT146" s="29">
        <v>10</v>
      </c>
      <c r="AU146" s="214">
        <f t="shared" si="122"/>
        <v>0.0565</v>
      </c>
      <c r="AV146" s="269">
        <f t="shared" si="123"/>
        <v>0.57</v>
      </c>
      <c r="AW146" s="269">
        <f t="shared" si="136"/>
        <v>0</v>
      </c>
      <c r="AX146" s="198">
        <f t="shared" si="124"/>
        <v>0.57</v>
      </c>
      <c r="AY146" s="190">
        <v>20</v>
      </c>
      <c r="AZ146" s="214">
        <f t="shared" si="125"/>
        <v>0.0445</v>
      </c>
      <c r="BA146" s="269">
        <f t="shared" si="126"/>
        <v>0.89</v>
      </c>
      <c r="BB146" s="269">
        <f t="shared" si="137"/>
        <v>0</v>
      </c>
      <c r="BC146" s="198">
        <f t="shared" si="127"/>
        <v>0.89</v>
      </c>
      <c r="BD146" s="199">
        <f t="shared" si="128"/>
        <v>1.46</v>
      </c>
      <c r="BE146" s="235" t="s">
        <v>309</v>
      </c>
      <c r="BF146" s="446" t="s">
        <v>310</v>
      </c>
      <c r="BG146" s="446"/>
      <c r="BH146" s="22" t="s">
        <v>54</v>
      </c>
      <c r="BI146" s="200">
        <f t="shared" si="138"/>
        <v>1.46</v>
      </c>
      <c r="BJ146" s="200">
        <f t="shared" si="139"/>
        <v>0.15</v>
      </c>
      <c r="BK146" s="197">
        <f t="shared" si="140"/>
        <v>0.55</v>
      </c>
      <c r="BL146" s="197">
        <f t="shared" si="141"/>
        <v>0</v>
      </c>
      <c r="BM146" s="197">
        <f t="shared" si="142"/>
        <v>0.02</v>
      </c>
      <c r="BN146" s="201">
        <f t="shared" si="143"/>
        <v>1.6</v>
      </c>
      <c r="BO146" s="202">
        <f t="shared" si="144"/>
        <v>3.7800000000000002</v>
      </c>
      <c r="BP146" s="203">
        <f t="shared" si="145"/>
        <v>1.13</v>
      </c>
      <c r="BQ146" s="204">
        <f t="shared" si="146"/>
        <v>4.91</v>
      </c>
      <c r="BR146" s="205">
        <f t="shared" si="147"/>
        <v>0.26</v>
      </c>
      <c r="BS146" s="206">
        <f t="shared" si="148"/>
        <v>5.17</v>
      </c>
      <c r="BT146" s="84"/>
    </row>
    <row r="147" spans="1:72" ht="18" customHeight="1">
      <c r="A147" s="84"/>
      <c r="B147" s="235"/>
      <c r="C147" s="236"/>
      <c r="D147" s="78"/>
      <c r="E147" s="190"/>
      <c r="F147" s="214"/>
      <c r="G147" s="197"/>
      <c r="H147" s="197"/>
      <c r="I147" s="198"/>
      <c r="J147" s="257"/>
      <c r="K147" s="214"/>
      <c r="L147" s="197"/>
      <c r="M147" s="197"/>
      <c r="N147" s="198"/>
      <c r="O147" s="199"/>
      <c r="P147" s="235"/>
      <c r="Q147" s="355"/>
      <c r="R147" s="355"/>
      <c r="S147" s="76"/>
      <c r="T147" s="22"/>
      <c r="U147" s="200"/>
      <c r="V147" s="200"/>
      <c r="W147" s="197"/>
      <c r="X147" s="197"/>
      <c r="Y147" s="197"/>
      <c r="Z147" s="201"/>
      <c r="AA147" s="202"/>
      <c r="AB147" s="203"/>
      <c r="AC147" s="204"/>
      <c r="AD147" s="205"/>
      <c r="AE147" s="206"/>
      <c r="AF147" s="84"/>
      <c r="AG147" s="235"/>
      <c r="AH147" s="355"/>
      <c r="AI147" s="355"/>
      <c r="AJ147" s="78"/>
      <c r="AK147" s="78"/>
      <c r="AL147" s="207"/>
      <c r="AM147" s="207"/>
      <c r="AN147" s="207"/>
      <c r="AO147" s="19"/>
      <c r="AP147" s="84"/>
      <c r="AQ147" s="235"/>
      <c r="AR147" s="355"/>
      <c r="AS147" s="355"/>
      <c r="AT147" s="29"/>
      <c r="AU147" s="214"/>
      <c r="AV147" s="269"/>
      <c r="AW147" s="269"/>
      <c r="AX147" s="198"/>
      <c r="AY147" s="190"/>
      <c r="AZ147" s="214"/>
      <c r="BA147" s="269"/>
      <c r="BB147" s="269"/>
      <c r="BC147" s="198"/>
      <c r="BD147" s="199"/>
      <c r="BE147" s="235"/>
      <c r="BF147" s="355"/>
      <c r="BG147" s="355"/>
      <c r="BH147" s="22"/>
      <c r="BI147" s="200"/>
      <c r="BJ147" s="200"/>
      <c r="BK147" s="197"/>
      <c r="BL147" s="197"/>
      <c r="BM147" s="197"/>
      <c r="BN147" s="201"/>
      <c r="BO147" s="202"/>
      <c r="BP147" s="203"/>
      <c r="BQ147" s="204"/>
      <c r="BR147" s="205"/>
      <c r="BS147" s="206"/>
      <c r="BT147" s="84"/>
    </row>
    <row r="148" spans="1:72" ht="13.5" customHeight="1">
      <c r="A148" s="84"/>
      <c r="B148" s="233" t="s">
        <v>915</v>
      </c>
      <c r="C148" s="362" t="s">
        <v>916</v>
      </c>
      <c r="D148" s="251"/>
      <c r="E148" s="255"/>
      <c r="F148" s="256"/>
      <c r="G148" s="253"/>
      <c r="H148" s="253"/>
      <c r="I148" s="254"/>
      <c r="J148" s="257"/>
      <c r="K148" s="255"/>
      <c r="L148" s="253"/>
      <c r="M148" s="253"/>
      <c r="N148" s="254"/>
      <c r="O148" s="220"/>
      <c r="P148" s="233" t="s">
        <v>915</v>
      </c>
      <c r="Q148" s="442" t="s">
        <v>916</v>
      </c>
      <c r="R148" s="442"/>
      <c r="S148" s="76"/>
      <c r="T148" s="219"/>
      <c r="U148" s="253"/>
      <c r="V148" s="253"/>
      <c r="W148" s="253"/>
      <c r="X148" s="253"/>
      <c r="Y148" s="253"/>
      <c r="Z148" s="253"/>
      <c r="AA148" s="253"/>
      <c r="AB148" s="253"/>
      <c r="AC148" s="253"/>
      <c r="AD148" s="253"/>
      <c r="AE148" s="220"/>
      <c r="AF148" s="84"/>
      <c r="AG148" s="233" t="s">
        <v>915</v>
      </c>
      <c r="AH148" s="442" t="s">
        <v>916</v>
      </c>
      <c r="AI148" s="442"/>
      <c r="AJ148" s="78"/>
      <c r="AK148" s="78"/>
      <c r="AL148" s="207"/>
      <c r="AM148" s="207"/>
      <c r="AN148" s="207"/>
      <c r="AO148" s="19"/>
      <c r="AP148" s="84"/>
      <c r="AQ148" s="233" t="s">
        <v>915</v>
      </c>
      <c r="AR148" s="442" t="s">
        <v>916</v>
      </c>
      <c r="AS148" s="442"/>
      <c r="AT148" s="29"/>
      <c r="AU148" s="256"/>
      <c r="AV148" s="254"/>
      <c r="AW148" s="254"/>
      <c r="AX148" s="254"/>
      <c r="AY148" s="255"/>
      <c r="AZ148" s="256"/>
      <c r="BA148" s="254"/>
      <c r="BB148" s="254"/>
      <c r="BC148" s="254"/>
      <c r="BD148" s="220"/>
      <c r="BE148" s="233" t="s">
        <v>915</v>
      </c>
      <c r="BF148" s="442" t="s">
        <v>916</v>
      </c>
      <c r="BG148" s="442"/>
      <c r="BH148" s="219"/>
      <c r="BI148" s="253"/>
      <c r="BJ148" s="253"/>
      <c r="BK148" s="253"/>
      <c r="BL148" s="253"/>
      <c r="BM148" s="253"/>
      <c r="BN148" s="253"/>
      <c r="BO148" s="253"/>
      <c r="BP148" s="253"/>
      <c r="BQ148" s="253"/>
      <c r="BR148" s="253"/>
      <c r="BS148" s="220"/>
      <c r="BT148" s="84"/>
    </row>
    <row r="149" spans="1:72" ht="25.5" customHeight="1">
      <c r="A149" s="84"/>
      <c r="B149" s="235" t="s">
        <v>917</v>
      </c>
      <c r="C149" s="363" t="s">
        <v>918</v>
      </c>
      <c r="D149" s="78" t="s">
        <v>53</v>
      </c>
      <c r="E149" s="190">
        <v>30</v>
      </c>
      <c r="F149" s="214">
        <f>$G$15</f>
        <v>0.0565</v>
      </c>
      <c r="G149" s="197">
        <f>ROUND(E149*F149,2)</f>
        <v>1.7</v>
      </c>
      <c r="H149" s="197">
        <f>ROUND(G149*($A$16+$A$17)/100,2)</f>
        <v>0</v>
      </c>
      <c r="I149" s="198">
        <f>SUM(G149:H149)</f>
        <v>1.7</v>
      </c>
      <c r="J149" s="257">
        <v>15</v>
      </c>
      <c r="K149" s="214">
        <f>$G$18</f>
        <v>0.0445</v>
      </c>
      <c r="L149" s="197">
        <f>ROUND(J149*K149,2)</f>
        <v>0.67</v>
      </c>
      <c r="M149" s="197">
        <f>ROUND(L149*($A$16+$A$17)/100,2)</f>
        <v>0</v>
      </c>
      <c r="N149" s="198">
        <f>SUM(L149:M149)</f>
        <v>0.67</v>
      </c>
      <c r="O149" s="199">
        <f>SUM(I149,N149)</f>
        <v>2.37</v>
      </c>
      <c r="P149" s="235" t="s">
        <v>917</v>
      </c>
      <c r="Q149" s="446" t="s">
        <v>918</v>
      </c>
      <c r="R149" s="446"/>
      <c r="S149" s="76"/>
      <c r="T149" s="22" t="s">
        <v>54</v>
      </c>
      <c r="U149" s="200">
        <f>O149</f>
        <v>2.37</v>
      </c>
      <c r="V149" s="200">
        <f>ROUND(U149*$S$19,2)</f>
        <v>0.25</v>
      </c>
      <c r="W149" s="197">
        <f>ROUND(SUM(U149:V149)*$AA$19,2)</f>
        <v>0.89</v>
      </c>
      <c r="X149" s="197">
        <f>ROUND(SUM(U149:V149)*$AA$21,2)</f>
        <v>0</v>
      </c>
      <c r="Y149" s="197">
        <f>ROUND(SUM(U149:V149)*$AA$20,2)</f>
        <v>0.04</v>
      </c>
      <c r="Z149" s="201">
        <f>ROUND(U149*$S$20,2)</f>
        <v>2.6</v>
      </c>
      <c r="AA149" s="202">
        <f>SUM(U149:Z149)</f>
        <v>6.15</v>
      </c>
      <c r="AB149" s="203">
        <f>ROUND(AA149*$S$21,2)</f>
        <v>1.85</v>
      </c>
      <c r="AC149" s="204">
        <f>SUM(AA149:AB149)</f>
        <v>8</v>
      </c>
      <c r="AD149" s="205">
        <f>ROUND(AC149*$AD$19/95,2)</f>
        <v>0.42</v>
      </c>
      <c r="AE149" s="206">
        <f>SUM(AC149:AD149)</f>
        <v>8.42</v>
      </c>
      <c r="AF149" s="84"/>
      <c r="AG149" s="235" t="s">
        <v>917</v>
      </c>
      <c r="AH149" s="446" t="s">
        <v>918</v>
      </c>
      <c r="AI149" s="446"/>
      <c r="AJ149" s="78" t="s">
        <v>54</v>
      </c>
      <c r="AK149" s="78"/>
      <c r="AL149" s="207">
        <f>AE149</f>
        <v>8.42</v>
      </c>
      <c r="AM149" s="207"/>
      <c r="AN149" s="207">
        <f>BS149</f>
        <v>5.6000000000000005</v>
      </c>
      <c r="AO149" s="19"/>
      <c r="AP149" s="84"/>
      <c r="AQ149" s="235" t="s">
        <v>917</v>
      </c>
      <c r="AR149" s="446" t="s">
        <v>918</v>
      </c>
      <c r="AS149" s="446"/>
      <c r="AT149" s="29">
        <v>20</v>
      </c>
      <c r="AU149" s="214">
        <f t="shared" si="122"/>
        <v>0.0565</v>
      </c>
      <c r="AV149" s="269">
        <f>ROUND(AT149*AU149,2)</f>
        <v>1.13</v>
      </c>
      <c r="AW149" s="269">
        <f>ROUND(AV149*($A$16+$A$17)/100,2)</f>
        <v>0</v>
      </c>
      <c r="AX149" s="198">
        <f>SUM(AV149:AW149)</f>
        <v>1.13</v>
      </c>
      <c r="AY149" s="190">
        <v>10</v>
      </c>
      <c r="AZ149" s="214">
        <f t="shared" si="125"/>
        <v>0.0445</v>
      </c>
      <c r="BA149" s="269">
        <f>ROUND(AY149*AZ149,2)</f>
        <v>0.45</v>
      </c>
      <c r="BB149" s="269">
        <f>ROUND(BA149*($A$16+$A$17)/100,2)</f>
        <v>0</v>
      </c>
      <c r="BC149" s="198">
        <f>SUM(BA149:BB149)</f>
        <v>0.45</v>
      </c>
      <c r="BD149" s="199">
        <f>SUM(AX149,BC149)</f>
        <v>1.5799999999999998</v>
      </c>
      <c r="BE149" s="235" t="s">
        <v>917</v>
      </c>
      <c r="BF149" s="446" t="s">
        <v>918</v>
      </c>
      <c r="BG149" s="446"/>
      <c r="BH149" s="22" t="s">
        <v>54</v>
      </c>
      <c r="BI149" s="200">
        <f>BD149</f>
        <v>1.5799999999999998</v>
      </c>
      <c r="BJ149" s="200">
        <f>ROUND(BI149*$S$19,2)</f>
        <v>0.16</v>
      </c>
      <c r="BK149" s="197">
        <f>ROUND(SUM(BI149:BJ149)*$AA$19,2)</f>
        <v>0.59</v>
      </c>
      <c r="BL149" s="197">
        <f>ROUND(SUM(BI149:BJ149)*$AA$21,2)</f>
        <v>0</v>
      </c>
      <c r="BM149" s="197">
        <f>ROUND(SUM(BI149:BJ149)*$AA$20,2)</f>
        <v>0.03</v>
      </c>
      <c r="BN149" s="201">
        <f>ROUND(BI149*$S$20,2)</f>
        <v>1.73</v>
      </c>
      <c r="BO149" s="202">
        <f>SUM(BI149:BN149)</f>
        <v>4.09</v>
      </c>
      <c r="BP149" s="203">
        <f>ROUND(BO149*$S$21,2)</f>
        <v>1.23</v>
      </c>
      <c r="BQ149" s="204">
        <f>SUM(BO149:BP149)</f>
        <v>5.32</v>
      </c>
      <c r="BR149" s="205">
        <f>ROUND(BQ149*$AD$19/95,2)</f>
        <v>0.28</v>
      </c>
      <c r="BS149" s="206">
        <f>SUM(BQ149:BR149)</f>
        <v>5.6000000000000005</v>
      </c>
      <c r="BT149" s="84"/>
    </row>
    <row r="150" spans="1:72" ht="24" customHeight="1">
      <c r="A150" s="84"/>
      <c r="B150" s="233" t="s">
        <v>920</v>
      </c>
      <c r="C150" s="364" t="s">
        <v>921</v>
      </c>
      <c r="D150" s="251"/>
      <c r="E150" s="255"/>
      <c r="F150" s="256"/>
      <c r="G150" s="253"/>
      <c r="H150" s="253"/>
      <c r="I150" s="254"/>
      <c r="J150" s="257"/>
      <c r="K150" s="255"/>
      <c r="L150" s="253"/>
      <c r="M150" s="253"/>
      <c r="N150" s="254"/>
      <c r="O150" s="220"/>
      <c r="P150" s="233" t="s">
        <v>920</v>
      </c>
      <c r="Q150" s="442" t="s">
        <v>921</v>
      </c>
      <c r="R150" s="442"/>
      <c r="S150" s="76"/>
      <c r="T150" s="219"/>
      <c r="U150" s="253"/>
      <c r="V150" s="253"/>
      <c r="W150" s="253"/>
      <c r="X150" s="253"/>
      <c r="Y150" s="253"/>
      <c r="Z150" s="253"/>
      <c r="AA150" s="253"/>
      <c r="AB150" s="253"/>
      <c r="AC150" s="253"/>
      <c r="AD150" s="253"/>
      <c r="AE150" s="220"/>
      <c r="AF150" s="84"/>
      <c r="AG150" s="233" t="s">
        <v>920</v>
      </c>
      <c r="AH150" s="442" t="s">
        <v>921</v>
      </c>
      <c r="AI150" s="442"/>
      <c r="AJ150" s="78"/>
      <c r="AK150" s="78"/>
      <c r="AL150" s="207"/>
      <c r="AM150" s="207"/>
      <c r="AN150" s="207"/>
      <c r="AO150" s="19"/>
      <c r="AP150" s="84"/>
      <c r="AQ150" s="233" t="s">
        <v>920</v>
      </c>
      <c r="AR150" s="442" t="s">
        <v>921</v>
      </c>
      <c r="AS150" s="442"/>
      <c r="AT150" s="29"/>
      <c r="AU150" s="256"/>
      <c r="AV150" s="254"/>
      <c r="AW150" s="254"/>
      <c r="AX150" s="254"/>
      <c r="AY150" s="255"/>
      <c r="AZ150" s="256"/>
      <c r="BA150" s="254"/>
      <c r="BB150" s="254"/>
      <c r="BC150" s="254"/>
      <c r="BD150" s="220"/>
      <c r="BE150" s="233" t="s">
        <v>920</v>
      </c>
      <c r="BF150" s="442" t="s">
        <v>921</v>
      </c>
      <c r="BG150" s="442"/>
      <c r="BH150" s="219"/>
      <c r="BI150" s="253"/>
      <c r="BJ150" s="253"/>
      <c r="BK150" s="253"/>
      <c r="BL150" s="253"/>
      <c r="BM150" s="253"/>
      <c r="BN150" s="253"/>
      <c r="BO150" s="253"/>
      <c r="BP150" s="253"/>
      <c r="BQ150" s="253"/>
      <c r="BR150" s="253"/>
      <c r="BS150" s="220"/>
      <c r="BT150" s="84"/>
    </row>
    <row r="151" spans="1:72" ht="13.5" customHeight="1">
      <c r="A151" s="84"/>
      <c r="B151" s="235" t="s">
        <v>922</v>
      </c>
      <c r="C151" s="282" t="s">
        <v>923</v>
      </c>
      <c r="D151" s="78" t="s">
        <v>53</v>
      </c>
      <c r="E151" s="190">
        <v>35</v>
      </c>
      <c r="F151" s="214">
        <f>$G$15</f>
        <v>0.0565</v>
      </c>
      <c r="G151" s="197">
        <f>ROUND(E151*F151,2)</f>
        <v>1.98</v>
      </c>
      <c r="H151" s="197">
        <f>ROUND(G151*($A$16+$A$17)/100,2)</f>
        <v>0</v>
      </c>
      <c r="I151" s="198">
        <f>SUM(G151:H151)</f>
        <v>1.98</v>
      </c>
      <c r="J151" s="257">
        <v>30</v>
      </c>
      <c r="K151" s="214">
        <f>$G$18</f>
        <v>0.0445</v>
      </c>
      <c r="L151" s="197">
        <f>ROUND(J151*K151,2)</f>
        <v>1.34</v>
      </c>
      <c r="M151" s="197">
        <f>ROUND(L151*($A$16+$A$17)/100,2)</f>
        <v>0</v>
      </c>
      <c r="N151" s="198">
        <f>SUM(L151:M151)</f>
        <v>1.34</v>
      </c>
      <c r="O151" s="199">
        <f>SUM(I151,N151)</f>
        <v>3.3200000000000003</v>
      </c>
      <c r="P151" s="235" t="s">
        <v>922</v>
      </c>
      <c r="Q151" s="446" t="s">
        <v>923</v>
      </c>
      <c r="R151" s="446"/>
      <c r="S151" s="76"/>
      <c r="T151" s="22" t="s">
        <v>54</v>
      </c>
      <c r="U151" s="200">
        <f>O151</f>
        <v>3.3200000000000003</v>
      </c>
      <c r="V151" s="200">
        <f>ROUND(U151*$S$19,2)</f>
        <v>0.34</v>
      </c>
      <c r="W151" s="197">
        <f>ROUND(SUM(U151:V151)*$AA$19,2)</f>
        <v>1.24</v>
      </c>
      <c r="X151" s="197">
        <f>ROUND(SUM(U151:V151)*$AA$21,2)</f>
        <v>0</v>
      </c>
      <c r="Y151" s="197">
        <f>ROUND(SUM(U151:V151)*$AA$20,2)</f>
        <v>0.05</v>
      </c>
      <c r="Z151" s="201">
        <f>ROUND(U151*$S$20,2)</f>
        <v>3.64</v>
      </c>
      <c r="AA151" s="202">
        <f>SUM(U151:Z151)</f>
        <v>8.59</v>
      </c>
      <c r="AB151" s="203">
        <f>ROUND(AA151*$S$21,2)</f>
        <v>2.58</v>
      </c>
      <c r="AC151" s="204">
        <f>SUM(AA151:AB151)</f>
        <v>11.17</v>
      </c>
      <c r="AD151" s="205">
        <f>ROUND(AC151*$AD$19/95,2)</f>
        <v>0.59</v>
      </c>
      <c r="AE151" s="206">
        <f>SUM(AC151:AD151)</f>
        <v>11.76</v>
      </c>
      <c r="AF151" s="84"/>
      <c r="AG151" s="235" t="s">
        <v>922</v>
      </c>
      <c r="AH151" s="446" t="s">
        <v>923</v>
      </c>
      <c r="AI151" s="446"/>
      <c r="AJ151" s="78" t="s">
        <v>54</v>
      </c>
      <c r="AK151" s="78"/>
      <c r="AL151" s="207">
        <f>AE151</f>
        <v>11.76</v>
      </c>
      <c r="AM151" s="207"/>
      <c r="AN151" s="207">
        <f>BS151</f>
        <v>7.170000000000001</v>
      </c>
      <c r="AO151" s="19"/>
      <c r="AP151" s="84"/>
      <c r="AQ151" s="235" t="s">
        <v>922</v>
      </c>
      <c r="AR151" s="446" t="s">
        <v>923</v>
      </c>
      <c r="AS151" s="446"/>
      <c r="AT151" s="29">
        <v>20</v>
      </c>
      <c r="AU151" s="214">
        <f t="shared" si="122"/>
        <v>0.0565</v>
      </c>
      <c r="AV151" s="269">
        <f>ROUND(AT151*AU151,2)</f>
        <v>1.13</v>
      </c>
      <c r="AW151" s="269">
        <f>ROUND(AV151*($A$16+$A$17)/100,2)</f>
        <v>0</v>
      </c>
      <c r="AX151" s="198">
        <f>SUM(AV151:AW151)</f>
        <v>1.13</v>
      </c>
      <c r="AY151" s="190">
        <v>20</v>
      </c>
      <c r="AZ151" s="214">
        <f t="shared" si="125"/>
        <v>0.0445</v>
      </c>
      <c r="BA151" s="269">
        <f>ROUND(AY151*AZ151,2)</f>
        <v>0.89</v>
      </c>
      <c r="BB151" s="269">
        <f>ROUND(BA151*($A$16+$A$17)/100,2)</f>
        <v>0</v>
      </c>
      <c r="BC151" s="198">
        <f>SUM(BA151:BB151)</f>
        <v>0.89</v>
      </c>
      <c r="BD151" s="199">
        <f>SUM(AX151,BC151)</f>
        <v>2.02</v>
      </c>
      <c r="BE151" s="235" t="s">
        <v>922</v>
      </c>
      <c r="BF151" s="446" t="s">
        <v>923</v>
      </c>
      <c r="BG151" s="446"/>
      <c r="BH151" s="22" t="s">
        <v>54</v>
      </c>
      <c r="BI151" s="200">
        <f>BD151</f>
        <v>2.02</v>
      </c>
      <c r="BJ151" s="200">
        <f>ROUND(BI151*$S$19,2)</f>
        <v>0.21</v>
      </c>
      <c r="BK151" s="197">
        <f>ROUND(SUM(BI151:BJ151)*$AA$19,2)</f>
        <v>0.76</v>
      </c>
      <c r="BL151" s="197">
        <f>ROUND(SUM(BI151:BJ151)*$AA$21,2)</f>
        <v>0</v>
      </c>
      <c r="BM151" s="197">
        <f>ROUND(SUM(BI151:BJ151)*$AA$20,2)</f>
        <v>0.03</v>
      </c>
      <c r="BN151" s="201">
        <f>ROUND(BI151*$S$20,2)</f>
        <v>2.22</v>
      </c>
      <c r="BO151" s="202">
        <f>SUM(BI151:BN151)</f>
        <v>5.24</v>
      </c>
      <c r="BP151" s="203">
        <f>ROUND(BO151*$S$21,2)</f>
        <v>1.57</v>
      </c>
      <c r="BQ151" s="204">
        <f>SUM(BO151:BP151)</f>
        <v>6.8100000000000005</v>
      </c>
      <c r="BR151" s="205">
        <f>ROUND(BQ151*$AD$19/95,2)</f>
        <v>0.36</v>
      </c>
      <c r="BS151" s="206">
        <f>SUM(BQ151:BR151)</f>
        <v>7.170000000000001</v>
      </c>
      <c r="BT151" s="84"/>
    </row>
    <row r="152" spans="1:72" ht="13.5" customHeight="1">
      <c r="A152" s="84"/>
      <c r="B152" s="235" t="s">
        <v>925</v>
      </c>
      <c r="C152" s="282" t="s">
        <v>340</v>
      </c>
      <c r="D152" s="78" t="s">
        <v>53</v>
      </c>
      <c r="E152" s="190">
        <v>15</v>
      </c>
      <c r="F152" s="214">
        <f>$G$15</f>
        <v>0.0565</v>
      </c>
      <c r="G152" s="197">
        <f>ROUND(E152*F152,2)</f>
        <v>0.85</v>
      </c>
      <c r="H152" s="197">
        <f>ROUND(G152*($A$16+$A$17)/100,2)</f>
        <v>0</v>
      </c>
      <c r="I152" s="198">
        <f>SUM(G152:H152)</f>
        <v>0.85</v>
      </c>
      <c r="J152" s="257">
        <v>20</v>
      </c>
      <c r="K152" s="214">
        <f>$G$18</f>
        <v>0.0445</v>
      </c>
      <c r="L152" s="197">
        <f>ROUND(J152*K152,2)</f>
        <v>0.89</v>
      </c>
      <c r="M152" s="197">
        <f>ROUND(L152*($A$16+$A$17)/100,2)</f>
        <v>0</v>
      </c>
      <c r="N152" s="198">
        <f>SUM(L152:M152)</f>
        <v>0.89</v>
      </c>
      <c r="O152" s="199">
        <f>SUM(I152,N152)</f>
        <v>1.74</v>
      </c>
      <c r="P152" s="235" t="s">
        <v>925</v>
      </c>
      <c r="Q152" s="446" t="s">
        <v>340</v>
      </c>
      <c r="R152" s="446"/>
      <c r="S152" s="76"/>
      <c r="T152" s="22" t="s">
        <v>54</v>
      </c>
      <c r="U152" s="200">
        <f>O152</f>
        <v>1.74</v>
      </c>
      <c r="V152" s="200">
        <f>ROUND(U152*$S$19,2)</f>
        <v>0.18</v>
      </c>
      <c r="W152" s="197">
        <f>ROUND(SUM(U152:V152)*$AA$19,2)</f>
        <v>0.65</v>
      </c>
      <c r="X152" s="197">
        <f>ROUND(SUM(U152:V152)*$AA$21,2)</f>
        <v>0</v>
      </c>
      <c r="Y152" s="197">
        <f>ROUND(SUM(U152:V152)*$AA$20,2)</f>
        <v>0.03</v>
      </c>
      <c r="Z152" s="201">
        <f>ROUND(U152*$S$20,2)</f>
        <v>1.91</v>
      </c>
      <c r="AA152" s="202">
        <f>SUM(U152:Z152)</f>
        <v>4.51</v>
      </c>
      <c r="AB152" s="203">
        <f>ROUND(AA152*$S$21,2)</f>
        <v>1.35</v>
      </c>
      <c r="AC152" s="204">
        <f>SUM(AA152:AB152)</f>
        <v>5.859999999999999</v>
      </c>
      <c r="AD152" s="205">
        <f>ROUND(AC152*$AD$19/95,2)</f>
        <v>0.31</v>
      </c>
      <c r="AE152" s="206">
        <f>SUM(AC152:AD152)</f>
        <v>6.169999999999999</v>
      </c>
      <c r="AF152" s="84"/>
      <c r="AG152" s="235" t="s">
        <v>925</v>
      </c>
      <c r="AH152" s="446" t="s">
        <v>340</v>
      </c>
      <c r="AI152" s="446"/>
      <c r="AJ152" s="78" t="s">
        <v>54</v>
      </c>
      <c r="AK152" s="78"/>
      <c r="AL152" s="207">
        <f>AE152</f>
        <v>6.169999999999999</v>
      </c>
      <c r="AM152" s="207"/>
      <c r="AN152" s="207">
        <f>BS152</f>
        <v>3.6300000000000003</v>
      </c>
      <c r="AO152" s="19"/>
      <c r="AP152" s="84"/>
      <c r="AQ152" s="235" t="s">
        <v>925</v>
      </c>
      <c r="AR152" s="446" t="s">
        <v>340</v>
      </c>
      <c r="AS152" s="446"/>
      <c r="AT152" s="29">
        <v>10</v>
      </c>
      <c r="AU152" s="214">
        <f t="shared" si="122"/>
        <v>0.0565</v>
      </c>
      <c r="AV152" s="269">
        <f>ROUND(AT152*AU152,2)</f>
        <v>0.57</v>
      </c>
      <c r="AW152" s="269">
        <f>ROUND(AV152*($A$16+$A$17)/100,2)</f>
        <v>0</v>
      </c>
      <c r="AX152" s="198">
        <f>SUM(AV152:AW152)</f>
        <v>0.57</v>
      </c>
      <c r="AY152" s="190">
        <v>10</v>
      </c>
      <c r="AZ152" s="214">
        <f t="shared" si="125"/>
        <v>0.0445</v>
      </c>
      <c r="BA152" s="269">
        <f>ROUND(AY152*AZ152,2)</f>
        <v>0.45</v>
      </c>
      <c r="BB152" s="269">
        <f>ROUND(BA152*($A$16+$A$17)/100,2)</f>
        <v>0</v>
      </c>
      <c r="BC152" s="198">
        <f>SUM(BA152:BB152)</f>
        <v>0.45</v>
      </c>
      <c r="BD152" s="199">
        <f>SUM(AX152,BC152)</f>
        <v>1.02</v>
      </c>
      <c r="BE152" s="235" t="s">
        <v>925</v>
      </c>
      <c r="BF152" s="446" t="s">
        <v>340</v>
      </c>
      <c r="BG152" s="446"/>
      <c r="BH152" s="22" t="s">
        <v>54</v>
      </c>
      <c r="BI152" s="200">
        <f>BD152</f>
        <v>1.02</v>
      </c>
      <c r="BJ152" s="200">
        <f>ROUND(BI152*$S$19,2)</f>
        <v>0.11</v>
      </c>
      <c r="BK152" s="197">
        <f>ROUND(SUM(BI152:BJ152)*$AA$19,2)</f>
        <v>0.38</v>
      </c>
      <c r="BL152" s="197">
        <f>ROUND(SUM(BI152:BJ152)*$AA$21,2)</f>
        <v>0</v>
      </c>
      <c r="BM152" s="197">
        <f>ROUND(SUM(BI152:BJ152)*$AA$20,2)</f>
        <v>0.02</v>
      </c>
      <c r="BN152" s="201">
        <f>ROUND(BI152*$S$20,2)</f>
        <v>1.12</v>
      </c>
      <c r="BO152" s="202">
        <f>SUM(BI152:BN152)</f>
        <v>2.6500000000000004</v>
      </c>
      <c r="BP152" s="203">
        <f>ROUND(BO152*$S$21,2)</f>
        <v>0.8</v>
      </c>
      <c r="BQ152" s="204">
        <f>SUM(BO152:BP152)</f>
        <v>3.45</v>
      </c>
      <c r="BR152" s="205">
        <f>ROUND(BQ152*$AD$19/95,2)</f>
        <v>0.18</v>
      </c>
      <c r="BS152" s="206">
        <f>SUM(BQ152:BR152)</f>
        <v>3.6300000000000003</v>
      </c>
      <c r="BT152" s="84"/>
    </row>
    <row r="153" spans="1:72" ht="13.5" customHeight="1">
      <c r="A153" s="84"/>
      <c r="B153" s="233" t="s">
        <v>321</v>
      </c>
      <c r="C153" s="362" t="s">
        <v>268</v>
      </c>
      <c r="D153" s="251"/>
      <c r="E153" s="255"/>
      <c r="F153" s="256"/>
      <c r="G153" s="253"/>
      <c r="H153" s="253"/>
      <c r="I153" s="254"/>
      <c r="J153" s="257"/>
      <c r="K153" s="255"/>
      <c r="L153" s="253"/>
      <c r="M153" s="253"/>
      <c r="N153" s="254"/>
      <c r="O153" s="220"/>
      <c r="P153" s="233" t="s">
        <v>321</v>
      </c>
      <c r="Q153" s="442" t="s">
        <v>268</v>
      </c>
      <c r="R153" s="442"/>
      <c r="S153" s="76"/>
      <c r="T153" s="219"/>
      <c r="U153" s="253"/>
      <c r="V153" s="253"/>
      <c r="W153" s="253"/>
      <c r="X153" s="253"/>
      <c r="Y153" s="253"/>
      <c r="Z153" s="253"/>
      <c r="AA153" s="253"/>
      <c r="AB153" s="253"/>
      <c r="AC153" s="253"/>
      <c r="AD153" s="253"/>
      <c r="AE153" s="220"/>
      <c r="AF153" s="84"/>
      <c r="AG153" s="233" t="s">
        <v>321</v>
      </c>
      <c r="AH153" s="442" t="s">
        <v>268</v>
      </c>
      <c r="AI153" s="442"/>
      <c r="AJ153" s="78"/>
      <c r="AK153" s="78"/>
      <c r="AL153" s="207"/>
      <c r="AM153" s="207"/>
      <c r="AN153" s="207"/>
      <c r="AO153" s="19"/>
      <c r="AP153" s="84"/>
      <c r="AQ153" s="233" t="s">
        <v>321</v>
      </c>
      <c r="AR153" s="442" t="s">
        <v>268</v>
      </c>
      <c r="AS153" s="442"/>
      <c r="AT153" s="29"/>
      <c r="AU153" s="256"/>
      <c r="AV153" s="254"/>
      <c r="AW153" s="254"/>
      <c r="AX153" s="254"/>
      <c r="AY153" s="255"/>
      <c r="AZ153" s="256"/>
      <c r="BA153" s="254"/>
      <c r="BB153" s="254"/>
      <c r="BC153" s="254"/>
      <c r="BD153" s="220"/>
      <c r="BE153" s="233" t="s">
        <v>321</v>
      </c>
      <c r="BF153" s="442" t="s">
        <v>268</v>
      </c>
      <c r="BG153" s="442"/>
      <c r="BH153" s="219"/>
      <c r="BI153" s="253"/>
      <c r="BJ153" s="253"/>
      <c r="BK153" s="253"/>
      <c r="BL153" s="253"/>
      <c r="BM153" s="253"/>
      <c r="BN153" s="253"/>
      <c r="BO153" s="253"/>
      <c r="BP153" s="253"/>
      <c r="BQ153" s="253"/>
      <c r="BR153" s="253"/>
      <c r="BS153" s="220"/>
      <c r="BT153" s="84"/>
    </row>
    <row r="154" spans="1:72" ht="39.75" customHeight="1">
      <c r="A154" s="84"/>
      <c r="B154" s="235" t="s">
        <v>323</v>
      </c>
      <c r="C154" s="363" t="s">
        <v>929</v>
      </c>
      <c r="D154" s="78" t="s">
        <v>53</v>
      </c>
      <c r="E154" s="190">
        <v>10</v>
      </c>
      <c r="F154" s="214">
        <f>$G$15</f>
        <v>0.0565</v>
      </c>
      <c r="G154" s="197">
        <f>ROUND(E154*F154,2)</f>
        <v>0.57</v>
      </c>
      <c r="H154" s="197">
        <f>ROUND(G154*($A$16+$A$17)/100,2)</f>
        <v>0</v>
      </c>
      <c r="I154" s="198">
        <f>SUM(G154:H154)</f>
        <v>0.57</v>
      </c>
      <c r="J154" s="257">
        <v>20</v>
      </c>
      <c r="K154" s="214">
        <f>$G$18</f>
        <v>0.0445</v>
      </c>
      <c r="L154" s="197">
        <f>ROUND(J154*K154,2)</f>
        <v>0.89</v>
      </c>
      <c r="M154" s="197">
        <f>ROUND(L154*($A$16+$A$17)/100,2)</f>
        <v>0</v>
      </c>
      <c r="N154" s="198">
        <f>SUM(L154:M154)</f>
        <v>0.89</v>
      </c>
      <c r="O154" s="199">
        <f>SUM(I154,N154)</f>
        <v>1.46</v>
      </c>
      <c r="P154" s="235" t="s">
        <v>323</v>
      </c>
      <c r="Q154" s="446" t="s">
        <v>929</v>
      </c>
      <c r="R154" s="446"/>
      <c r="S154" s="76"/>
      <c r="T154" s="22" t="s">
        <v>54</v>
      </c>
      <c r="U154" s="200">
        <f>O154</f>
        <v>1.46</v>
      </c>
      <c r="V154" s="200">
        <f>ROUND(U154*$S$19,2)</f>
        <v>0.15</v>
      </c>
      <c r="W154" s="197">
        <f>ROUND(SUM(U154:V154)*$AA$19,2)</f>
        <v>0.55</v>
      </c>
      <c r="X154" s="197">
        <f>ROUND(SUM(U154:V154)*$AA$21,2)</f>
        <v>0</v>
      </c>
      <c r="Y154" s="197">
        <f>ROUND(SUM(U154:V154)*$AA$20,2)</f>
        <v>0.02</v>
      </c>
      <c r="Z154" s="201">
        <f>ROUND(U154*$S$20,2)</f>
        <v>1.6</v>
      </c>
      <c r="AA154" s="202">
        <f>SUM(U154:Z154)</f>
        <v>3.7800000000000002</v>
      </c>
      <c r="AB154" s="203">
        <f>ROUND(AA154*$S$21,2)</f>
        <v>1.13</v>
      </c>
      <c r="AC154" s="204">
        <f>SUM(AA154:AB154)</f>
        <v>4.91</v>
      </c>
      <c r="AD154" s="205">
        <f>ROUND(AC154*$AD$19/95,2)</f>
        <v>0.26</v>
      </c>
      <c r="AE154" s="206">
        <f>SUM(AC154:AD154)</f>
        <v>5.17</v>
      </c>
      <c r="AF154" s="84"/>
      <c r="AG154" s="235" t="s">
        <v>323</v>
      </c>
      <c r="AH154" s="446" t="s">
        <v>929</v>
      </c>
      <c r="AI154" s="446"/>
      <c r="AJ154" s="78" t="s">
        <v>54</v>
      </c>
      <c r="AK154" s="78"/>
      <c r="AL154" s="207">
        <f>AE154</f>
        <v>5.17</v>
      </c>
      <c r="AM154" s="207"/>
      <c r="AN154" s="207">
        <f>BS154</f>
        <v>2.5999999999999996</v>
      </c>
      <c r="AO154" s="19"/>
      <c r="AP154" s="84"/>
      <c r="AQ154" s="235" t="s">
        <v>323</v>
      </c>
      <c r="AR154" s="446" t="s">
        <v>929</v>
      </c>
      <c r="AS154" s="446"/>
      <c r="AT154" s="29">
        <v>5</v>
      </c>
      <c r="AU154" s="214">
        <f t="shared" si="122"/>
        <v>0.0565</v>
      </c>
      <c r="AV154" s="269">
        <f>ROUND(AT154*AU154,2)</f>
        <v>0.28</v>
      </c>
      <c r="AW154" s="269">
        <f>ROUND(AV154*($A$16+$A$17)/100,2)</f>
        <v>0</v>
      </c>
      <c r="AX154" s="198">
        <f>SUM(AV154:AW154)</f>
        <v>0.28</v>
      </c>
      <c r="AY154" s="190">
        <v>10</v>
      </c>
      <c r="AZ154" s="214">
        <f t="shared" si="125"/>
        <v>0.0445</v>
      </c>
      <c r="BA154" s="269">
        <f>ROUND(AY154*AZ154,2)</f>
        <v>0.45</v>
      </c>
      <c r="BB154" s="269">
        <f>ROUND(BA154*($A$16+$A$17)/100,2)</f>
        <v>0</v>
      </c>
      <c r="BC154" s="198">
        <f>SUM(BA154:BB154)</f>
        <v>0.45</v>
      </c>
      <c r="BD154" s="199">
        <f>SUM(AX154,BC154)</f>
        <v>0.73</v>
      </c>
      <c r="BE154" s="235" t="s">
        <v>323</v>
      </c>
      <c r="BF154" s="446" t="s">
        <v>929</v>
      </c>
      <c r="BG154" s="446"/>
      <c r="BH154" s="22" t="s">
        <v>54</v>
      </c>
      <c r="BI154" s="200">
        <f>BD154</f>
        <v>0.73</v>
      </c>
      <c r="BJ154" s="200">
        <f>ROUND(BI154*$S$19,2)</f>
        <v>0.08</v>
      </c>
      <c r="BK154" s="197">
        <f>ROUND(SUM(BI154:BJ154)*$AA$19,2)</f>
        <v>0.28</v>
      </c>
      <c r="BL154" s="197">
        <f>ROUND(SUM(BI154:BJ154)*$AA$21,2)</f>
        <v>0</v>
      </c>
      <c r="BM154" s="197">
        <f>ROUND(SUM(BI154:BJ154)*$AA$20,2)</f>
        <v>0.01</v>
      </c>
      <c r="BN154" s="201">
        <f>ROUND(BI154*$S$20,2)</f>
        <v>0.8</v>
      </c>
      <c r="BO154" s="202">
        <f>SUM(BI154:BN154)</f>
        <v>1.9</v>
      </c>
      <c r="BP154" s="203">
        <f>ROUND(BO154*$S$21,2)</f>
        <v>0.57</v>
      </c>
      <c r="BQ154" s="204">
        <f>SUM(BO154:BP154)</f>
        <v>2.4699999999999998</v>
      </c>
      <c r="BR154" s="205">
        <f>ROUND(BQ154*$AD$19/95,2)</f>
        <v>0.13</v>
      </c>
      <c r="BS154" s="206">
        <f>SUM(BQ154:BR154)</f>
        <v>2.5999999999999996</v>
      </c>
      <c r="BT154" s="84"/>
    </row>
    <row r="155" spans="1:72" ht="15.75" customHeight="1">
      <c r="A155" s="84"/>
      <c r="B155" s="233" t="s">
        <v>311</v>
      </c>
      <c r="C155" s="234" t="s">
        <v>312</v>
      </c>
      <c r="D155" s="251"/>
      <c r="E155" s="255"/>
      <c r="F155" s="256"/>
      <c r="G155" s="253"/>
      <c r="H155" s="253"/>
      <c r="I155" s="254"/>
      <c r="J155" s="257"/>
      <c r="K155" s="255"/>
      <c r="L155" s="253"/>
      <c r="M155" s="253"/>
      <c r="N155" s="254"/>
      <c r="O155" s="220"/>
      <c r="P155" s="233" t="s">
        <v>311</v>
      </c>
      <c r="Q155" s="442" t="s">
        <v>312</v>
      </c>
      <c r="R155" s="442"/>
      <c r="S155" s="76"/>
      <c r="T155" s="219"/>
      <c r="U155" s="253"/>
      <c r="V155" s="253"/>
      <c r="W155" s="253"/>
      <c r="X155" s="253"/>
      <c r="Y155" s="253"/>
      <c r="Z155" s="253"/>
      <c r="AA155" s="253"/>
      <c r="AB155" s="253"/>
      <c r="AC155" s="253"/>
      <c r="AD155" s="253"/>
      <c r="AE155" s="220"/>
      <c r="AF155" s="84"/>
      <c r="AG155" s="233" t="s">
        <v>311</v>
      </c>
      <c r="AH155" s="442" t="s">
        <v>312</v>
      </c>
      <c r="AI155" s="442"/>
      <c r="AJ155" s="78"/>
      <c r="AK155" s="78"/>
      <c r="AL155" s="207"/>
      <c r="AM155" s="207"/>
      <c r="AN155" s="207"/>
      <c r="AO155" s="19"/>
      <c r="AP155" s="84"/>
      <c r="AQ155" s="233" t="s">
        <v>311</v>
      </c>
      <c r="AR155" s="442" t="s">
        <v>312</v>
      </c>
      <c r="AS155" s="442"/>
      <c r="AT155" s="29"/>
      <c r="AU155" s="256"/>
      <c r="AV155" s="254"/>
      <c r="AW155" s="254"/>
      <c r="AX155" s="254"/>
      <c r="AY155" s="255"/>
      <c r="AZ155" s="256"/>
      <c r="BA155" s="254"/>
      <c r="BB155" s="254"/>
      <c r="BC155" s="254"/>
      <c r="BD155" s="220"/>
      <c r="BE155" s="233" t="s">
        <v>311</v>
      </c>
      <c r="BF155" s="442" t="s">
        <v>312</v>
      </c>
      <c r="BG155" s="442"/>
      <c r="BH155" s="219"/>
      <c r="BI155" s="253"/>
      <c r="BJ155" s="253"/>
      <c r="BK155" s="253"/>
      <c r="BL155" s="253"/>
      <c r="BM155" s="253"/>
      <c r="BN155" s="253"/>
      <c r="BO155" s="253"/>
      <c r="BP155" s="253"/>
      <c r="BQ155" s="253"/>
      <c r="BR155" s="253"/>
      <c r="BS155" s="220"/>
      <c r="BT155" s="84"/>
    </row>
    <row r="156" spans="1:72" ht="16.5" customHeight="1">
      <c r="A156" s="84"/>
      <c r="B156" s="235" t="s">
        <v>313</v>
      </c>
      <c r="C156" s="236" t="s">
        <v>314</v>
      </c>
      <c r="D156" s="78" t="s">
        <v>53</v>
      </c>
      <c r="E156" s="190">
        <v>15</v>
      </c>
      <c r="F156" s="214">
        <f>$G$15</f>
        <v>0.0565</v>
      </c>
      <c r="G156" s="197">
        <f>ROUND(E156*F156,2)</f>
        <v>0.85</v>
      </c>
      <c r="H156" s="197">
        <f>ROUND(G156*($A$16+$A$17)/100,2)</f>
        <v>0</v>
      </c>
      <c r="I156" s="198">
        <f>SUM(G156:H156)</f>
        <v>0.85</v>
      </c>
      <c r="J156" s="257">
        <v>20</v>
      </c>
      <c r="K156" s="214">
        <f>$G$18</f>
        <v>0.0445</v>
      </c>
      <c r="L156" s="197">
        <f>ROUND(J156*K156,2)</f>
        <v>0.89</v>
      </c>
      <c r="M156" s="197">
        <f>ROUND(L156*($A$16+$A$17)/100,2)</f>
        <v>0</v>
      </c>
      <c r="N156" s="198">
        <f>SUM(L156:M156)</f>
        <v>0.89</v>
      </c>
      <c r="O156" s="199">
        <f>SUM(I156,N156)</f>
        <v>1.74</v>
      </c>
      <c r="P156" s="235" t="s">
        <v>313</v>
      </c>
      <c r="Q156" s="446" t="s">
        <v>314</v>
      </c>
      <c r="R156" s="446"/>
      <c r="S156" s="76"/>
      <c r="T156" s="22" t="s">
        <v>54</v>
      </c>
      <c r="U156" s="200">
        <f>O156</f>
        <v>1.74</v>
      </c>
      <c r="V156" s="200">
        <f>ROUND(U156*$S$19,2)</f>
        <v>0.18</v>
      </c>
      <c r="W156" s="197">
        <f>ROUND(SUM(U156:V156)*$AA$19,2)</f>
        <v>0.65</v>
      </c>
      <c r="X156" s="197">
        <f>ROUND(SUM(U156:V156)*$AA$21,2)</f>
        <v>0</v>
      </c>
      <c r="Y156" s="197">
        <f>ROUND(SUM(U156:V156)*$AA$20,2)</f>
        <v>0.03</v>
      </c>
      <c r="Z156" s="201">
        <f>ROUND(U156*$S$20,2)</f>
        <v>1.91</v>
      </c>
      <c r="AA156" s="202">
        <f>SUM(U156:Z156)</f>
        <v>4.51</v>
      </c>
      <c r="AB156" s="203">
        <f>ROUND(AA156*$S$21,2)</f>
        <v>1.35</v>
      </c>
      <c r="AC156" s="204">
        <f>SUM(AA156:AB156)</f>
        <v>5.859999999999999</v>
      </c>
      <c r="AD156" s="205">
        <f>ROUND(AC156*$AD$19/95,2)</f>
        <v>0.31</v>
      </c>
      <c r="AE156" s="206">
        <f>SUM(AC156:AD156)</f>
        <v>6.169999999999999</v>
      </c>
      <c r="AF156" s="84"/>
      <c r="AG156" s="235" t="s">
        <v>313</v>
      </c>
      <c r="AH156" s="446" t="s">
        <v>314</v>
      </c>
      <c r="AI156" s="446"/>
      <c r="AJ156" s="78"/>
      <c r="AK156" s="78"/>
      <c r="AL156" s="207">
        <f t="shared" si="134"/>
        <v>6.169999999999999</v>
      </c>
      <c r="AM156" s="207"/>
      <c r="AN156" s="207">
        <f t="shared" si="135"/>
        <v>3.6300000000000003</v>
      </c>
      <c r="AO156" s="19"/>
      <c r="AP156" s="84"/>
      <c r="AQ156" s="235" t="s">
        <v>313</v>
      </c>
      <c r="AR156" s="446" t="s">
        <v>314</v>
      </c>
      <c r="AS156" s="446"/>
      <c r="AT156" s="29">
        <v>10</v>
      </c>
      <c r="AU156" s="214">
        <f t="shared" si="122"/>
        <v>0.0565</v>
      </c>
      <c r="AV156" s="269">
        <f t="shared" si="123"/>
        <v>0.57</v>
      </c>
      <c r="AW156" s="269">
        <f t="shared" si="136"/>
        <v>0</v>
      </c>
      <c r="AX156" s="198">
        <f t="shared" si="124"/>
        <v>0.57</v>
      </c>
      <c r="AY156" s="190">
        <v>10</v>
      </c>
      <c r="AZ156" s="214">
        <f t="shared" si="125"/>
        <v>0.0445</v>
      </c>
      <c r="BA156" s="269">
        <f t="shared" si="126"/>
        <v>0.45</v>
      </c>
      <c r="BB156" s="269">
        <f t="shared" si="137"/>
        <v>0</v>
      </c>
      <c r="BC156" s="198">
        <f t="shared" si="127"/>
        <v>0.45</v>
      </c>
      <c r="BD156" s="199">
        <f t="shared" si="128"/>
        <v>1.02</v>
      </c>
      <c r="BE156" s="235" t="s">
        <v>313</v>
      </c>
      <c r="BF156" s="446" t="s">
        <v>314</v>
      </c>
      <c r="BG156" s="446"/>
      <c r="BH156" s="22"/>
      <c r="BI156" s="200">
        <f t="shared" si="138"/>
        <v>1.02</v>
      </c>
      <c r="BJ156" s="200">
        <f t="shared" si="139"/>
        <v>0.11</v>
      </c>
      <c r="BK156" s="197">
        <f t="shared" si="140"/>
        <v>0.38</v>
      </c>
      <c r="BL156" s="197">
        <f t="shared" si="141"/>
        <v>0</v>
      </c>
      <c r="BM156" s="197">
        <f t="shared" si="142"/>
        <v>0.02</v>
      </c>
      <c r="BN156" s="201">
        <f t="shared" si="143"/>
        <v>1.12</v>
      </c>
      <c r="BO156" s="202">
        <f t="shared" si="144"/>
        <v>2.6500000000000004</v>
      </c>
      <c r="BP156" s="203">
        <f t="shared" si="145"/>
        <v>0.8</v>
      </c>
      <c r="BQ156" s="204">
        <f t="shared" si="146"/>
        <v>3.45</v>
      </c>
      <c r="BR156" s="205">
        <f t="shared" si="147"/>
        <v>0.18</v>
      </c>
      <c r="BS156" s="206">
        <f t="shared" si="148"/>
        <v>3.6300000000000003</v>
      </c>
      <c r="BT156" s="84"/>
    </row>
    <row r="157" spans="1:72" ht="14.25" customHeight="1">
      <c r="A157" s="84"/>
      <c r="B157" s="235" t="s">
        <v>315</v>
      </c>
      <c r="C157" s="236" t="s">
        <v>278</v>
      </c>
      <c r="D157" s="78" t="s">
        <v>53</v>
      </c>
      <c r="E157" s="190">
        <v>15</v>
      </c>
      <c r="F157" s="214">
        <f>$G$15</f>
        <v>0.0565</v>
      </c>
      <c r="G157" s="197">
        <f>ROUND(E157*F157,2)</f>
        <v>0.85</v>
      </c>
      <c r="H157" s="197">
        <f>ROUND(G157*($A$16+$A$17)/100,2)</f>
        <v>0</v>
      </c>
      <c r="I157" s="198">
        <f>SUM(G157:H157)</f>
        <v>0.85</v>
      </c>
      <c r="J157" s="257">
        <v>20</v>
      </c>
      <c r="K157" s="214">
        <f>$G$18</f>
        <v>0.0445</v>
      </c>
      <c r="L157" s="197">
        <f>ROUND(J157*K157,2)</f>
        <v>0.89</v>
      </c>
      <c r="M157" s="197">
        <f>ROUND(L157*($A$16+$A$17)/100,2)</f>
        <v>0</v>
      </c>
      <c r="N157" s="198">
        <f>SUM(L157:M157)</f>
        <v>0.89</v>
      </c>
      <c r="O157" s="199">
        <f>SUM(I157,N157)</f>
        <v>1.74</v>
      </c>
      <c r="P157" s="235" t="s">
        <v>315</v>
      </c>
      <c r="Q157" s="446" t="s">
        <v>278</v>
      </c>
      <c r="R157" s="446"/>
      <c r="S157" s="76"/>
      <c r="T157" s="22" t="s">
        <v>54</v>
      </c>
      <c r="U157" s="200">
        <f>O157</f>
        <v>1.74</v>
      </c>
      <c r="V157" s="200">
        <f>ROUND(U157*$S$19,2)</f>
        <v>0.18</v>
      </c>
      <c r="W157" s="197">
        <f>ROUND(SUM(U157:V157)*$AA$19,2)</f>
        <v>0.65</v>
      </c>
      <c r="X157" s="197">
        <f>ROUND(SUM(U157:V157)*$AA$21,2)</f>
        <v>0</v>
      </c>
      <c r="Y157" s="197">
        <f>ROUND(SUM(U157:V157)*$AA$20,2)</f>
        <v>0.03</v>
      </c>
      <c r="Z157" s="201">
        <f>ROUND(U157*$S$20,2)</f>
        <v>1.91</v>
      </c>
      <c r="AA157" s="202">
        <f>SUM(U157:Z157)</f>
        <v>4.51</v>
      </c>
      <c r="AB157" s="203">
        <f>ROUND(AA157*$S$21,2)</f>
        <v>1.35</v>
      </c>
      <c r="AC157" s="204">
        <f>SUM(AA157:AB157)</f>
        <v>5.859999999999999</v>
      </c>
      <c r="AD157" s="205">
        <f>ROUND(AC157*$AD$19/95,2)</f>
        <v>0.31</v>
      </c>
      <c r="AE157" s="206">
        <f>SUM(AC157:AD157)</f>
        <v>6.169999999999999</v>
      </c>
      <c r="AF157" s="84"/>
      <c r="AG157" s="235" t="s">
        <v>315</v>
      </c>
      <c r="AH157" s="446" t="s">
        <v>278</v>
      </c>
      <c r="AI157" s="446"/>
      <c r="AJ157" s="78"/>
      <c r="AK157" s="78"/>
      <c r="AL157" s="207">
        <f t="shared" si="134"/>
        <v>6.169999999999999</v>
      </c>
      <c r="AM157" s="207"/>
      <c r="AN157" s="207">
        <f t="shared" si="135"/>
        <v>3.6300000000000003</v>
      </c>
      <c r="AO157" s="19"/>
      <c r="AP157" s="84"/>
      <c r="AQ157" s="235" t="s">
        <v>315</v>
      </c>
      <c r="AR157" s="446" t="s">
        <v>278</v>
      </c>
      <c r="AS157" s="446"/>
      <c r="AT157" s="29">
        <v>10</v>
      </c>
      <c r="AU157" s="214">
        <f t="shared" si="122"/>
        <v>0.0565</v>
      </c>
      <c r="AV157" s="269">
        <f t="shared" si="123"/>
        <v>0.57</v>
      </c>
      <c r="AW157" s="269">
        <f t="shared" si="136"/>
        <v>0</v>
      </c>
      <c r="AX157" s="198">
        <f t="shared" si="124"/>
        <v>0.57</v>
      </c>
      <c r="AY157" s="190">
        <v>10</v>
      </c>
      <c r="AZ157" s="214">
        <f t="shared" si="125"/>
        <v>0.0445</v>
      </c>
      <c r="BA157" s="269">
        <f t="shared" si="126"/>
        <v>0.45</v>
      </c>
      <c r="BB157" s="269">
        <f t="shared" si="137"/>
        <v>0</v>
      </c>
      <c r="BC157" s="198">
        <f t="shared" si="127"/>
        <v>0.45</v>
      </c>
      <c r="BD157" s="199">
        <f t="shared" si="128"/>
        <v>1.02</v>
      </c>
      <c r="BE157" s="235" t="s">
        <v>315</v>
      </c>
      <c r="BF157" s="446" t="s">
        <v>278</v>
      </c>
      <c r="BG157" s="446"/>
      <c r="BH157" s="22"/>
      <c r="BI157" s="200">
        <f t="shared" si="138"/>
        <v>1.02</v>
      </c>
      <c r="BJ157" s="200">
        <f t="shared" si="139"/>
        <v>0.11</v>
      </c>
      <c r="BK157" s="197">
        <f t="shared" si="140"/>
        <v>0.38</v>
      </c>
      <c r="BL157" s="197">
        <f t="shared" si="141"/>
        <v>0</v>
      </c>
      <c r="BM157" s="197">
        <f t="shared" si="142"/>
        <v>0.02</v>
      </c>
      <c r="BN157" s="201">
        <f t="shared" si="143"/>
        <v>1.12</v>
      </c>
      <c r="BO157" s="202">
        <f t="shared" si="144"/>
        <v>2.6500000000000004</v>
      </c>
      <c r="BP157" s="203">
        <f t="shared" si="145"/>
        <v>0.8</v>
      </c>
      <c r="BQ157" s="204">
        <f t="shared" si="146"/>
        <v>3.45</v>
      </c>
      <c r="BR157" s="205">
        <f t="shared" si="147"/>
        <v>0.18</v>
      </c>
      <c r="BS157" s="206">
        <f t="shared" si="148"/>
        <v>3.6300000000000003</v>
      </c>
      <c r="BT157" s="84"/>
    </row>
    <row r="158" spans="1:72" ht="16.5" customHeight="1">
      <c r="A158" s="84"/>
      <c r="B158" s="235" t="s">
        <v>316</v>
      </c>
      <c r="C158" s="236" t="s">
        <v>317</v>
      </c>
      <c r="D158" s="78" t="s">
        <v>53</v>
      </c>
      <c r="E158" s="190">
        <v>10</v>
      </c>
      <c r="F158" s="214">
        <f>$G$15</f>
        <v>0.0565</v>
      </c>
      <c r="G158" s="197">
        <f>ROUND(E158*F158,2)</f>
        <v>0.57</v>
      </c>
      <c r="H158" s="197">
        <f>ROUND(G158*($A$16+$A$17)/100,2)</f>
        <v>0</v>
      </c>
      <c r="I158" s="198">
        <f>SUM(G158:H158)</f>
        <v>0.57</v>
      </c>
      <c r="J158" s="257">
        <v>20</v>
      </c>
      <c r="K158" s="214">
        <f>$G$18</f>
        <v>0.0445</v>
      </c>
      <c r="L158" s="197">
        <f>ROUND(J158*K158,2)</f>
        <v>0.89</v>
      </c>
      <c r="M158" s="197">
        <f>ROUND(L158*($A$16+$A$17)/100,2)</f>
        <v>0</v>
      </c>
      <c r="N158" s="198">
        <f>SUM(L158:M158)</f>
        <v>0.89</v>
      </c>
      <c r="O158" s="199">
        <f>SUM(I158,N158)</f>
        <v>1.46</v>
      </c>
      <c r="P158" s="235" t="s">
        <v>316</v>
      </c>
      <c r="Q158" s="446" t="s">
        <v>317</v>
      </c>
      <c r="R158" s="446"/>
      <c r="S158" s="76"/>
      <c r="T158" s="22" t="s">
        <v>54</v>
      </c>
      <c r="U158" s="200">
        <f>O158</f>
        <v>1.46</v>
      </c>
      <c r="V158" s="200">
        <f>ROUND(U158*$S$19,2)</f>
        <v>0.15</v>
      </c>
      <c r="W158" s="197">
        <f>ROUND(SUM(U158:V158)*$AA$19,2)</f>
        <v>0.55</v>
      </c>
      <c r="X158" s="197">
        <f>ROUND(SUM(U158:V158)*$AA$21,2)</f>
        <v>0</v>
      </c>
      <c r="Y158" s="197">
        <f>ROUND(SUM(U158:V158)*$AA$20,2)</f>
        <v>0.02</v>
      </c>
      <c r="Z158" s="201">
        <f>ROUND(U158*$S$20,2)</f>
        <v>1.6</v>
      </c>
      <c r="AA158" s="202">
        <f>SUM(U158:Z158)</f>
        <v>3.7800000000000002</v>
      </c>
      <c r="AB158" s="203">
        <f>ROUND(AA158*$S$21,2)</f>
        <v>1.13</v>
      </c>
      <c r="AC158" s="204">
        <f>SUM(AA158:AB158)</f>
        <v>4.91</v>
      </c>
      <c r="AD158" s="205">
        <f>ROUND(AC158*$AD$19/95,2)</f>
        <v>0.26</v>
      </c>
      <c r="AE158" s="206">
        <f>SUM(AC158:AD158)</f>
        <v>5.17</v>
      </c>
      <c r="AF158" s="84"/>
      <c r="AG158" s="235" t="s">
        <v>316</v>
      </c>
      <c r="AH158" s="446" t="s">
        <v>317</v>
      </c>
      <c r="AI158" s="446"/>
      <c r="AJ158" s="78"/>
      <c r="AK158" s="78"/>
      <c r="AL158" s="207">
        <f t="shared" si="134"/>
        <v>5.17</v>
      </c>
      <c r="AM158" s="207"/>
      <c r="AN158" s="207">
        <f t="shared" si="135"/>
        <v>2.5999999999999996</v>
      </c>
      <c r="AO158" s="19"/>
      <c r="AP158" s="84"/>
      <c r="AQ158" s="235" t="s">
        <v>316</v>
      </c>
      <c r="AR158" s="446" t="s">
        <v>317</v>
      </c>
      <c r="AS158" s="446"/>
      <c r="AT158" s="29">
        <v>5</v>
      </c>
      <c r="AU158" s="214">
        <f t="shared" si="122"/>
        <v>0.0565</v>
      </c>
      <c r="AV158" s="269">
        <f t="shared" si="123"/>
        <v>0.28</v>
      </c>
      <c r="AW158" s="269">
        <f t="shared" si="136"/>
        <v>0</v>
      </c>
      <c r="AX158" s="198">
        <f t="shared" si="124"/>
        <v>0.28</v>
      </c>
      <c r="AY158" s="190">
        <v>10</v>
      </c>
      <c r="AZ158" s="214">
        <f t="shared" si="125"/>
        <v>0.0445</v>
      </c>
      <c r="BA158" s="269">
        <f t="shared" si="126"/>
        <v>0.45</v>
      </c>
      <c r="BB158" s="269">
        <f t="shared" si="137"/>
        <v>0</v>
      </c>
      <c r="BC158" s="198">
        <f t="shared" si="127"/>
        <v>0.45</v>
      </c>
      <c r="BD158" s="199">
        <f t="shared" si="128"/>
        <v>0.73</v>
      </c>
      <c r="BE158" s="235" t="s">
        <v>316</v>
      </c>
      <c r="BF158" s="446" t="s">
        <v>317</v>
      </c>
      <c r="BG158" s="446"/>
      <c r="BH158" s="22"/>
      <c r="BI158" s="200">
        <f t="shared" si="138"/>
        <v>0.73</v>
      </c>
      <c r="BJ158" s="200">
        <f t="shared" si="139"/>
        <v>0.08</v>
      </c>
      <c r="BK158" s="197">
        <f t="shared" si="140"/>
        <v>0.28</v>
      </c>
      <c r="BL158" s="197">
        <f t="shared" si="141"/>
        <v>0</v>
      </c>
      <c r="BM158" s="197">
        <f t="shared" si="142"/>
        <v>0.01</v>
      </c>
      <c r="BN158" s="201">
        <f t="shared" si="143"/>
        <v>0.8</v>
      </c>
      <c r="BO158" s="202">
        <f t="shared" si="144"/>
        <v>1.9</v>
      </c>
      <c r="BP158" s="203">
        <f t="shared" si="145"/>
        <v>0.57</v>
      </c>
      <c r="BQ158" s="204">
        <f t="shared" si="146"/>
        <v>2.4699999999999998</v>
      </c>
      <c r="BR158" s="205">
        <f t="shared" si="147"/>
        <v>0.13</v>
      </c>
      <c r="BS158" s="206">
        <f t="shared" si="148"/>
        <v>2.5999999999999996</v>
      </c>
      <c r="BT158" s="84"/>
    </row>
    <row r="159" spans="1:72" ht="18" customHeight="1">
      <c r="A159" s="84"/>
      <c r="B159" s="233" t="s">
        <v>318</v>
      </c>
      <c r="C159" s="234" t="s">
        <v>319</v>
      </c>
      <c r="D159" s="251"/>
      <c r="E159" s="255"/>
      <c r="F159" s="256"/>
      <c r="G159" s="253"/>
      <c r="H159" s="253"/>
      <c r="I159" s="254"/>
      <c r="J159" s="257"/>
      <c r="K159" s="255"/>
      <c r="L159" s="253"/>
      <c r="M159" s="253"/>
      <c r="N159" s="254"/>
      <c r="O159" s="220"/>
      <c r="P159" s="233" t="s">
        <v>318</v>
      </c>
      <c r="Q159" s="442" t="s">
        <v>319</v>
      </c>
      <c r="R159" s="442"/>
      <c r="S159" s="76"/>
      <c r="T159" s="219"/>
      <c r="U159" s="253"/>
      <c r="V159" s="253"/>
      <c r="W159" s="253"/>
      <c r="X159" s="253"/>
      <c r="Y159" s="253"/>
      <c r="Z159" s="253"/>
      <c r="AA159" s="253"/>
      <c r="AB159" s="253"/>
      <c r="AC159" s="253"/>
      <c r="AD159" s="253"/>
      <c r="AE159" s="220"/>
      <c r="AF159" s="84"/>
      <c r="AG159" s="233" t="s">
        <v>318</v>
      </c>
      <c r="AH159" s="442" t="s">
        <v>319</v>
      </c>
      <c r="AI159" s="442"/>
      <c r="AJ159" s="78"/>
      <c r="AK159" s="78"/>
      <c r="AL159" s="207"/>
      <c r="AM159" s="207"/>
      <c r="AN159" s="207"/>
      <c r="AO159" s="19"/>
      <c r="AP159" s="84"/>
      <c r="AQ159" s="233" t="s">
        <v>318</v>
      </c>
      <c r="AR159" s="442" t="s">
        <v>319</v>
      </c>
      <c r="AS159" s="442"/>
      <c r="AT159" s="29"/>
      <c r="AU159" s="256"/>
      <c r="AV159" s="254"/>
      <c r="AW159" s="254"/>
      <c r="AX159" s="254"/>
      <c r="AY159" s="255"/>
      <c r="AZ159" s="256"/>
      <c r="BA159" s="254"/>
      <c r="BB159" s="254"/>
      <c r="BC159" s="254"/>
      <c r="BD159" s="220"/>
      <c r="BE159" s="233" t="s">
        <v>318</v>
      </c>
      <c r="BF159" s="442" t="s">
        <v>319</v>
      </c>
      <c r="BG159" s="442"/>
      <c r="BH159" s="219"/>
      <c r="BI159" s="253"/>
      <c r="BJ159" s="253"/>
      <c r="BK159" s="253"/>
      <c r="BL159" s="253"/>
      <c r="BM159" s="253"/>
      <c r="BN159" s="253"/>
      <c r="BO159" s="253"/>
      <c r="BP159" s="253"/>
      <c r="BQ159" s="253"/>
      <c r="BR159" s="253"/>
      <c r="BS159" s="220"/>
      <c r="BT159" s="84"/>
    </row>
    <row r="160" spans="1:72" ht="15.75" customHeight="1">
      <c r="A160" s="84"/>
      <c r="B160" s="235" t="s">
        <v>320</v>
      </c>
      <c r="C160" s="236" t="s">
        <v>280</v>
      </c>
      <c r="D160" s="78" t="s">
        <v>53</v>
      </c>
      <c r="E160" s="190">
        <v>15</v>
      </c>
      <c r="F160" s="214">
        <f>$G$15</f>
        <v>0.0565</v>
      </c>
      <c r="G160" s="197">
        <f>ROUND(E160*F160,2)</f>
        <v>0.85</v>
      </c>
      <c r="H160" s="197">
        <f>ROUND(G160*($A$16+$A$17)/100,2)</f>
        <v>0</v>
      </c>
      <c r="I160" s="198">
        <f>SUM(G160:H160)</f>
        <v>0.85</v>
      </c>
      <c r="J160" s="257">
        <v>20</v>
      </c>
      <c r="K160" s="214">
        <f>$G$18</f>
        <v>0.0445</v>
      </c>
      <c r="L160" s="197">
        <f>ROUND(J160*K160,2)</f>
        <v>0.89</v>
      </c>
      <c r="M160" s="197">
        <f>ROUND(L160*($A$16+$A$17)/100,2)</f>
        <v>0</v>
      </c>
      <c r="N160" s="198">
        <f>SUM(L160:M160)</f>
        <v>0.89</v>
      </c>
      <c r="O160" s="199">
        <f>SUM(I160,N160)</f>
        <v>1.74</v>
      </c>
      <c r="P160" s="235" t="s">
        <v>320</v>
      </c>
      <c r="Q160" s="446" t="s">
        <v>280</v>
      </c>
      <c r="R160" s="446"/>
      <c r="S160" s="76"/>
      <c r="T160" s="22" t="s">
        <v>54</v>
      </c>
      <c r="U160" s="200">
        <f>O160</f>
        <v>1.74</v>
      </c>
      <c r="V160" s="200">
        <f>ROUND(U160*$S$19,2)</f>
        <v>0.18</v>
      </c>
      <c r="W160" s="197">
        <f>ROUND(SUM(U160:V160)*$AA$19,2)</f>
        <v>0.65</v>
      </c>
      <c r="X160" s="197">
        <f>ROUND(SUM(U160:V160)*$AA$21,2)</f>
        <v>0</v>
      </c>
      <c r="Y160" s="197">
        <f>ROUND(SUM(U160:V160)*$AA$20,2)</f>
        <v>0.03</v>
      </c>
      <c r="Z160" s="201">
        <f>ROUND(U160*$S$20,2)</f>
        <v>1.91</v>
      </c>
      <c r="AA160" s="202">
        <f>SUM(U160:Z160)</f>
        <v>4.51</v>
      </c>
      <c r="AB160" s="203">
        <f>ROUND(AA160*$S$21,2)</f>
        <v>1.35</v>
      </c>
      <c r="AC160" s="204">
        <f>SUM(AA160:AB160)</f>
        <v>5.859999999999999</v>
      </c>
      <c r="AD160" s="205">
        <f>ROUND(AC160*$AD$19/95,2)</f>
        <v>0.31</v>
      </c>
      <c r="AE160" s="206">
        <f>SUM(AC160:AD160)</f>
        <v>6.169999999999999</v>
      </c>
      <c r="AF160" s="84"/>
      <c r="AG160" s="235" t="s">
        <v>320</v>
      </c>
      <c r="AH160" s="446" t="s">
        <v>280</v>
      </c>
      <c r="AI160" s="446"/>
      <c r="AJ160" s="78"/>
      <c r="AK160" s="78"/>
      <c r="AL160" s="207">
        <f t="shared" si="134"/>
        <v>6.169999999999999</v>
      </c>
      <c r="AM160" s="207"/>
      <c r="AN160" s="207">
        <f t="shared" si="135"/>
        <v>3.6300000000000003</v>
      </c>
      <c r="AO160" s="19"/>
      <c r="AP160" s="84"/>
      <c r="AQ160" s="235" t="s">
        <v>320</v>
      </c>
      <c r="AR160" s="446" t="s">
        <v>280</v>
      </c>
      <c r="AS160" s="446"/>
      <c r="AT160" s="29">
        <v>10</v>
      </c>
      <c r="AU160" s="214">
        <f t="shared" si="122"/>
        <v>0.0565</v>
      </c>
      <c r="AV160" s="269">
        <f t="shared" si="123"/>
        <v>0.57</v>
      </c>
      <c r="AW160" s="269">
        <f t="shared" si="136"/>
        <v>0</v>
      </c>
      <c r="AX160" s="198">
        <f t="shared" si="124"/>
        <v>0.57</v>
      </c>
      <c r="AY160" s="190">
        <v>10</v>
      </c>
      <c r="AZ160" s="214">
        <f t="shared" si="125"/>
        <v>0.0445</v>
      </c>
      <c r="BA160" s="269">
        <f t="shared" si="126"/>
        <v>0.45</v>
      </c>
      <c r="BB160" s="269">
        <f t="shared" si="137"/>
        <v>0</v>
      </c>
      <c r="BC160" s="198">
        <f t="shared" si="127"/>
        <v>0.45</v>
      </c>
      <c r="BD160" s="199">
        <f t="shared" si="128"/>
        <v>1.02</v>
      </c>
      <c r="BE160" s="235" t="s">
        <v>320</v>
      </c>
      <c r="BF160" s="446" t="s">
        <v>280</v>
      </c>
      <c r="BG160" s="446"/>
      <c r="BH160" s="22"/>
      <c r="BI160" s="200">
        <f t="shared" si="138"/>
        <v>1.02</v>
      </c>
      <c r="BJ160" s="200">
        <f t="shared" si="139"/>
        <v>0.11</v>
      </c>
      <c r="BK160" s="197">
        <f t="shared" si="140"/>
        <v>0.38</v>
      </c>
      <c r="BL160" s="197">
        <f t="shared" si="141"/>
        <v>0</v>
      </c>
      <c r="BM160" s="197">
        <f t="shared" si="142"/>
        <v>0.02</v>
      </c>
      <c r="BN160" s="201">
        <f t="shared" si="143"/>
        <v>1.12</v>
      </c>
      <c r="BO160" s="202">
        <f t="shared" si="144"/>
        <v>2.6500000000000004</v>
      </c>
      <c r="BP160" s="203">
        <f t="shared" si="145"/>
        <v>0.8</v>
      </c>
      <c r="BQ160" s="204">
        <f t="shared" si="146"/>
        <v>3.45</v>
      </c>
      <c r="BR160" s="205">
        <f t="shared" si="147"/>
        <v>0.18</v>
      </c>
      <c r="BS160" s="206">
        <f t="shared" si="148"/>
        <v>3.6300000000000003</v>
      </c>
      <c r="BT160" s="84"/>
    </row>
    <row r="161" spans="1:72" ht="19.5" customHeight="1">
      <c r="A161" s="84"/>
      <c r="B161" s="233" t="s">
        <v>321</v>
      </c>
      <c r="C161" s="234" t="s">
        <v>322</v>
      </c>
      <c r="D161" s="251"/>
      <c r="E161" s="255"/>
      <c r="F161" s="256"/>
      <c r="G161" s="253"/>
      <c r="H161" s="253"/>
      <c r="I161" s="254"/>
      <c r="J161" s="257"/>
      <c r="K161" s="255"/>
      <c r="L161" s="253"/>
      <c r="M161" s="253"/>
      <c r="N161" s="254"/>
      <c r="O161" s="220"/>
      <c r="P161" s="233" t="s">
        <v>321</v>
      </c>
      <c r="Q161" s="442" t="s">
        <v>322</v>
      </c>
      <c r="R161" s="442"/>
      <c r="S161" s="76"/>
      <c r="T161" s="219"/>
      <c r="U161" s="253"/>
      <c r="V161" s="253"/>
      <c r="W161" s="253"/>
      <c r="X161" s="253"/>
      <c r="Y161" s="253"/>
      <c r="Z161" s="253"/>
      <c r="AA161" s="253"/>
      <c r="AB161" s="253"/>
      <c r="AC161" s="253"/>
      <c r="AD161" s="253"/>
      <c r="AE161" s="220"/>
      <c r="AF161" s="84"/>
      <c r="AG161" s="233" t="s">
        <v>321</v>
      </c>
      <c r="AH161" s="442" t="s">
        <v>322</v>
      </c>
      <c r="AI161" s="442"/>
      <c r="AJ161" s="78"/>
      <c r="AK161" s="78"/>
      <c r="AL161" s="207"/>
      <c r="AM161" s="207"/>
      <c r="AN161" s="207"/>
      <c r="AO161" s="19"/>
      <c r="AP161" s="84"/>
      <c r="AQ161" s="233" t="s">
        <v>321</v>
      </c>
      <c r="AR161" s="442" t="s">
        <v>322</v>
      </c>
      <c r="AS161" s="442"/>
      <c r="AT161" s="29"/>
      <c r="AU161" s="256"/>
      <c r="AV161" s="254"/>
      <c r="AW161" s="254"/>
      <c r="AX161" s="254"/>
      <c r="AY161" s="255"/>
      <c r="AZ161" s="256"/>
      <c r="BA161" s="254"/>
      <c r="BB161" s="254"/>
      <c r="BC161" s="254"/>
      <c r="BD161" s="220"/>
      <c r="BE161" s="233" t="s">
        <v>321</v>
      </c>
      <c r="BF161" s="442" t="s">
        <v>322</v>
      </c>
      <c r="BG161" s="442"/>
      <c r="BH161" s="219"/>
      <c r="BI161" s="253"/>
      <c r="BJ161" s="253"/>
      <c r="BK161" s="253"/>
      <c r="BL161" s="253"/>
      <c r="BM161" s="253"/>
      <c r="BN161" s="253"/>
      <c r="BO161" s="253"/>
      <c r="BP161" s="253"/>
      <c r="BQ161" s="253"/>
      <c r="BR161" s="253"/>
      <c r="BS161" s="220"/>
      <c r="BT161" s="84"/>
    </row>
    <row r="162" spans="1:72" ht="30" customHeight="1">
      <c r="A162" s="84"/>
      <c r="B162" s="235" t="s">
        <v>323</v>
      </c>
      <c r="C162" s="236" t="s">
        <v>324</v>
      </c>
      <c r="D162" s="78" t="s">
        <v>53</v>
      </c>
      <c r="E162" s="190">
        <v>10</v>
      </c>
      <c r="F162" s="214">
        <f>$G$15</f>
        <v>0.0565</v>
      </c>
      <c r="G162" s="197">
        <f>ROUND(E162*F162,2)</f>
        <v>0.57</v>
      </c>
      <c r="H162" s="197">
        <f>ROUND(G162*($A$16+$A$17)/100,2)</f>
        <v>0</v>
      </c>
      <c r="I162" s="198">
        <f>SUM(G162:H162)</f>
        <v>0.57</v>
      </c>
      <c r="J162" s="257">
        <v>20</v>
      </c>
      <c r="K162" s="214">
        <f>$G$18</f>
        <v>0.0445</v>
      </c>
      <c r="L162" s="197">
        <f>ROUND(J162*K162,2)</f>
        <v>0.89</v>
      </c>
      <c r="M162" s="197">
        <f>ROUND(L162*($A$16+$A$17)/100,2)</f>
        <v>0</v>
      </c>
      <c r="N162" s="198">
        <f>SUM(L162:M162)</f>
        <v>0.89</v>
      </c>
      <c r="O162" s="199">
        <f>SUM(I162,N162)</f>
        <v>1.46</v>
      </c>
      <c r="P162" s="235" t="s">
        <v>323</v>
      </c>
      <c r="Q162" s="446" t="s">
        <v>324</v>
      </c>
      <c r="R162" s="446"/>
      <c r="S162" s="76"/>
      <c r="T162" s="22" t="s">
        <v>54</v>
      </c>
      <c r="U162" s="200">
        <f>O162</f>
        <v>1.46</v>
      </c>
      <c r="V162" s="200">
        <f>ROUND(U162*$S$19,2)</f>
        <v>0.15</v>
      </c>
      <c r="W162" s="197">
        <f>ROUND(SUM(U162:V162)*$AA$19,2)</f>
        <v>0.55</v>
      </c>
      <c r="X162" s="197">
        <f>ROUND(SUM(U162:V162)*$AA$21,2)</f>
        <v>0</v>
      </c>
      <c r="Y162" s="197">
        <f>ROUND(SUM(U162:V162)*$AA$20,2)</f>
        <v>0.02</v>
      </c>
      <c r="Z162" s="201">
        <f>ROUND(U162*$S$20,2)</f>
        <v>1.6</v>
      </c>
      <c r="AA162" s="202">
        <f>SUM(U162:Z162)</f>
        <v>3.7800000000000002</v>
      </c>
      <c r="AB162" s="203">
        <f>ROUND(AA162*$S$21,2)</f>
        <v>1.13</v>
      </c>
      <c r="AC162" s="204">
        <f>SUM(AA162:AB162)</f>
        <v>4.91</v>
      </c>
      <c r="AD162" s="205">
        <f>ROUND(AC162*$AD$19/95,2)</f>
        <v>0.26</v>
      </c>
      <c r="AE162" s="206">
        <f>SUM(AC162:AD162)</f>
        <v>5.17</v>
      </c>
      <c r="AF162" s="84"/>
      <c r="AG162" s="235" t="s">
        <v>323</v>
      </c>
      <c r="AH162" s="446" t="s">
        <v>324</v>
      </c>
      <c r="AI162" s="446"/>
      <c r="AJ162" s="78" t="s">
        <v>54</v>
      </c>
      <c r="AK162" s="78"/>
      <c r="AL162" s="207">
        <f t="shared" si="134"/>
        <v>5.17</v>
      </c>
      <c r="AM162" s="207"/>
      <c r="AN162" s="207">
        <f t="shared" si="135"/>
        <v>2.5999999999999996</v>
      </c>
      <c r="AO162" s="19"/>
      <c r="AP162" s="84"/>
      <c r="AQ162" s="235" t="s">
        <v>323</v>
      </c>
      <c r="AR162" s="446" t="s">
        <v>324</v>
      </c>
      <c r="AS162" s="446"/>
      <c r="AT162" s="29">
        <v>5</v>
      </c>
      <c r="AU162" s="214">
        <f t="shared" si="122"/>
        <v>0.0565</v>
      </c>
      <c r="AV162" s="269">
        <f t="shared" si="123"/>
        <v>0.28</v>
      </c>
      <c r="AW162" s="269">
        <f t="shared" si="136"/>
        <v>0</v>
      </c>
      <c r="AX162" s="198">
        <f t="shared" si="124"/>
        <v>0.28</v>
      </c>
      <c r="AY162" s="190">
        <v>10</v>
      </c>
      <c r="AZ162" s="214">
        <f t="shared" si="125"/>
        <v>0.0445</v>
      </c>
      <c r="BA162" s="269">
        <f t="shared" si="126"/>
        <v>0.45</v>
      </c>
      <c r="BB162" s="269">
        <f t="shared" si="137"/>
        <v>0</v>
      </c>
      <c r="BC162" s="198">
        <f t="shared" si="127"/>
        <v>0.45</v>
      </c>
      <c r="BD162" s="199">
        <f t="shared" si="128"/>
        <v>0.73</v>
      </c>
      <c r="BE162" s="235" t="s">
        <v>323</v>
      </c>
      <c r="BF162" s="446" t="s">
        <v>324</v>
      </c>
      <c r="BG162" s="446"/>
      <c r="BH162" s="22" t="s">
        <v>54</v>
      </c>
      <c r="BI162" s="200">
        <f aca="true" t="shared" si="153" ref="BI162:BI214">BD162</f>
        <v>0.73</v>
      </c>
      <c r="BJ162" s="200">
        <f t="shared" si="139"/>
        <v>0.08</v>
      </c>
      <c r="BK162" s="197">
        <f aca="true" t="shared" si="154" ref="BK162:BK214">ROUND(SUM(BI162:BJ162)*$AA$19,2)</f>
        <v>0.28</v>
      </c>
      <c r="BL162" s="197">
        <f aca="true" t="shared" si="155" ref="BL162:BL214">ROUND(SUM(BI162:BJ162)*$AA$21,2)</f>
        <v>0</v>
      </c>
      <c r="BM162" s="197">
        <f aca="true" t="shared" si="156" ref="BM162:BM214">ROUND(SUM(BI162:BJ162)*$AA$20,2)</f>
        <v>0.01</v>
      </c>
      <c r="BN162" s="201">
        <f aca="true" t="shared" si="157" ref="BN162:BN214">ROUND(BI162*$S$20,2)</f>
        <v>0.8</v>
      </c>
      <c r="BO162" s="202">
        <f aca="true" t="shared" si="158" ref="BO162:BO214">SUM(BI162:BN162)</f>
        <v>1.9</v>
      </c>
      <c r="BP162" s="203">
        <f t="shared" si="145"/>
        <v>0.57</v>
      </c>
      <c r="BQ162" s="204">
        <f aca="true" t="shared" si="159" ref="BQ162:BQ214">SUM(BO162:BP162)</f>
        <v>2.4699999999999998</v>
      </c>
      <c r="BR162" s="205">
        <f t="shared" si="147"/>
        <v>0.13</v>
      </c>
      <c r="BS162" s="206">
        <f aca="true" t="shared" si="160" ref="BS162:BS214">SUM(BQ162:BR162)</f>
        <v>2.5999999999999996</v>
      </c>
      <c r="BT162" s="84"/>
    </row>
    <row r="163" spans="1:72" ht="15.75" customHeight="1">
      <c r="A163" s="84"/>
      <c r="B163" s="235" t="s">
        <v>325</v>
      </c>
      <c r="C163" s="236" t="s">
        <v>326</v>
      </c>
      <c r="D163" s="78" t="s">
        <v>53</v>
      </c>
      <c r="E163" s="190">
        <v>10</v>
      </c>
      <c r="F163" s="214">
        <f>$G$15</f>
        <v>0.0565</v>
      </c>
      <c r="G163" s="197">
        <f>ROUND(E163*F163,2)</f>
        <v>0.57</v>
      </c>
      <c r="H163" s="197">
        <f>ROUND(G163*($A$16+$A$17)/100,2)</f>
        <v>0</v>
      </c>
      <c r="I163" s="198">
        <f>SUM(G163:H163)</f>
        <v>0.57</v>
      </c>
      <c r="J163" s="257">
        <v>20</v>
      </c>
      <c r="K163" s="214">
        <f>$G$18</f>
        <v>0.0445</v>
      </c>
      <c r="L163" s="197">
        <f>ROUND(J163*K163,2)</f>
        <v>0.89</v>
      </c>
      <c r="M163" s="197">
        <f>ROUND(L163*($A$16+$A$17)/100,2)</f>
        <v>0</v>
      </c>
      <c r="N163" s="198">
        <f>SUM(L163:M163)</f>
        <v>0.89</v>
      </c>
      <c r="O163" s="199">
        <f>SUM(I163,N163)</f>
        <v>1.46</v>
      </c>
      <c r="P163" s="235" t="s">
        <v>325</v>
      </c>
      <c r="Q163" s="446" t="s">
        <v>326</v>
      </c>
      <c r="R163" s="446"/>
      <c r="S163" s="76"/>
      <c r="T163" s="22" t="s">
        <v>54</v>
      </c>
      <c r="U163" s="200">
        <f>O163</f>
        <v>1.46</v>
      </c>
      <c r="V163" s="200">
        <f>ROUND(U163*$S$19,2)</f>
        <v>0.15</v>
      </c>
      <c r="W163" s="197">
        <f>ROUND(SUM(U163:V163)*$AA$19,2)</f>
        <v>0.55</v>
      </c>
      <c r="X163" s="197">
        <f>ROUND(SUM(U163:V163)*$AA$21,2)</f>
        <v>0</v>
      </c>
      <c r="Y163" s="197">
        <f>ROUND(SUM(U163:V163)*$AA$20,2)</f>
        <v>0.02</v>
      </c>
      <c r="Z163" s="201">
        <f>ROUND(U163*$S$20,2)</f>
        <v>1.6</v>
      </c>
      <c r="AA163" s="202">
        <f>SUM(U163:Z163)</f>
        <v>3.7800000000000002</v>
      </c>
      <c r="AB163" s="203">
        <f>ROUND(AA163*$S$21,2)</f>
        <v>1.13</v>
      </c>
      <c r="AC163" s="204">
        <f>SUM(AA163:AB163)</f>
        <v>4.91</v>
      </c>
      <c r="AD163" s="205">
        <f>ROUND(AC163*$AD$19/95,2)</f>
        <v>0.26</v>
      </c>
      <c r="AE163" s="206">
        <f>SUM(AC163:AD163)</f>
        <v>5.17</v>
      </c>
      <c r="AF163" s="84"/>
      <c r="AG163" s="235" t="s">
        <v>325</v>
      </c>
      <c r="AH163" s="446" t="s">
        <v>326</v>
      </c>
      <c r="AI163" s="446"/>
      <c r="AJ163" s="78" t="s">
        <v>54</v>
      </c>
      <c r="AK163" s="78"/>
      <c r="AL163" s="207">
        <f t="shared" si="134"/>
        <v>5.17</v>
      </c>
      <c r="AM163" s="207"/>
      <c r="AN163" s="207">
        <f t="shared" si="135"/>
        <v>2.5999999999999996</v>
      </c>
      <c r="AO163" s="19"/>
      <c r="AP163" s="84"/>
      <c r="AQ163" s="235" t="s">
        <v>325</v>
      </c>
      <c r="AR163" s="446" t="s">
        <v>326</v>
      </c>
      <c r="AS163" s="446"/>
      <c r="AT163" s="29">
        <v>5</v>
      </c>
      <c r="AU163" s="214">
        <f t="shared" si="122"/>
        <v>0.0565</v>
      </c>
      <c r="AV163" s="269">
        <f t="shared" si="123"/>
        <v>0.28</v>
      </c>
      <c r="AW163" s="269">
        <f t="shared" si="136"/>
        <v>0</v>
      </c>
      <c r="AX163" s="198">
        <f t="shared" si="124"/>
        <v>0.28</v>
      </c>
      <c r="AY163" s="190">
        <v>10</v>
      </c>
      <c r="AZ163" s="214">
        <f t="shared" si="125"/>
        <v>0.0445</v>
      </c>
      <c r="BA163" s="269">
        <f t="shared" si="126"/>
        <v>0.45</v>
      </c>
      <c r="BB163" s="269">
        <f t="shared" si="137"/>
        <v>0</v>
      </c>
      <c r="BC163" s="198">
        <f t="shared" si="127"/>
        <v>0.45</v>
      </c>
      <c r="BD163" s="199">
        <f t="shared" si="128"/>
        <v>0.73</v>
      </c>
      <c r="BE163" s="235" t="s">
        <v>325</v>
      </c>
      <c r="BF163" s="446" t="s">
        <v>326</v>
      </c>
      <c r="BG163" s="446"/>
      <c r="BH163" s="22" t="s">
        <v>54</v>
      </c>
      <c r="BI163" s="200">
        <f t="shared" si="153"/>
        <v>0.73</v>
      </c>
      <c r="BJ163" s="200">
        <f t="shared" si="139"/>
        <v>0.08</v>
      </c>
      <c r="BK163" s="197">
        <f t="shared" si="154"/>
        <v>0.28</v>
      </c>
      <c r="BL163" s="197">
        <f t="shared" si="155"/>
        <v>0</v>
      </c>
      <c r="BM163" s="197">
        <f t="shared" si="156"/>
        <v>0.01</v>
      </c>
      <c r="BN163" s="201">
        <f t="shared" si="157"/>
        <v>0.8</v>
      </c>
      <c r="BO163" s="202">
        <f t="shared" si="158"/>
        <v>1.9</v>
      </c>
      <c r="BP163" s="203">
        <f t="shared" si="145"/>
        <v>0.57</v>
      </c>
      <c r="BQ163" s="204">
        <f t="shared" si="159"/>
        <v>2.4699999999999998</v>
      </c>
      <c r="BR163" s="205">
        <f t="shared" si="147"/>
        <v>0.13</v>
      </c>
      <c r="BS163" s="206">
        <f t="shared" si="160"/>
        <v>2.5999999999999996</v>
      </c>
      <c r="BT163" s="84"/>
    </row>
    <row r="164" spans="1:72" ht="18" customHeight="1">
      <c r="A164" s="84"/>
      <c r="B164" s="233" t="s">
        <v>327</v>
      </c>
      <c r="C164" s="234" t="s">
        <v>286</v>
      </c>
      <c r="D164" s="251"/>
      <c r="E164" s="255"/>
      <c r="F164" s="256"/>
      <c r="G164" s="253"/>
      <c r="H164" s="253"/>
      <c r="I164" s="254"/>
      <c r="J164" s="257"/>
      <c r="K164" s="255"/>
      <c r="L164" s="253"/>
      <c r="M164" s="253"/>
      <c r="N164" s="254"/>
      <c r="O164" s="220"/>
      <c r="P164" s="233" t="s">
        <v>327</v>
      </c>
      <c r="Q164" s="442" t="s">
        <v>286</v>
      </c>
      <c r="R164" s="442"/>
      <c r="S164" s="76"/>
      <c r="T164" s="219"/>
      <c r="U164" s="253"/>
      <c r="V164" s="253"/>
      <c r="W164" s="253"/>
      <c r="X164" s="253"/>
      <c r="Y164" s="253"/>
      <c r="Z164" s="253"/>
      <c r="AA164" s="253"/>
      <c r="AB164" s="253"/>
      <c r="AC164" s="253"/>
      <c r="AD164" s="253"/>
      <c r="AE164" s="220"/>
      <c r="AF164" s="84"/>
      <c r="AG164" s="233" t="s">
        <v>327</v>
      </c>
      <c r="AH164" s="442" t="s">
        <v>286</v>
      </c>
      <c r="AI164" s="442"/>
      <c r="AJ164" s="78"/>
      <c r="AK164" s="78"/>
      <c r="AL164" s="207"/>
      <c r="AM164" s="207"/>
      <c r="AN164" s="207"/>
      <c r="AO164" s="19"/>
      <c r="AP164" s="84"/>
      <c r="AQ164" s="233" t="s">
        <v>327</v>
      </c>
      <c r="AR164" s="442" t="s">
        <v>286</v>
      </c>
      <c r="AS164" s="442"/>
      <c r="AT164" s="29"/>
      <c r="AU164" s="256"/>
      <c r="AV164" s="254"/>
      <c r="AW164" s="254"/>
      <c r="AX164" s="254"/>
      <c r="AY164" s="255"/>
      <c r="AZ164" s="256"/>
      <c r="BA164" s="254"/>
      <c r="BB164" s="254"/>
      <c r="BC164" s="254"/>
      <c r="BD164" s="220"/>
      <c r="BE164" s="233" t="s">
        <v>327</v>
      </c>
      <c r="BF164" s="442" t="s">
        <v>286</v>
      </c>
      <c r="BG164" s="442"/>
      <c r="BH164" s="219"/>
      <c r="BI164" s="253"/>
      <c r="BJ164" s="253"/>
      <c r="BK164" s="253"/>
      <c r="BL164" s="253"/>
      <c r="BM164" s="253"/>
      <c r="BN164" s="253"/>
      <c r="BO164" s="253"/>
      <c r="BP164" s="253"/>
      <c r="BQ164" s="253"/>
      <c r="BR164" s="253"/>
      <c r="BS164" s="220"/>
      <c r="BT164" s="84"/>
    </row>
    <row r="165" spans="1:72" ht="18.75" customHeight="1">
      <c r="A165" s="84"/>
      <c r="B165" s="235" t="s">
        <v>328</v>
      </c>
      <c r="C165" s="236" t="s">
        <v>288</v>
      </c>
      <c r="D165" s="78" t="s">
        <v>53</v>
      </c>
      <c r="E165" s="190">
        <v>15</v>
      </c>
      <c r="F165" s="214">
        <f>$G$15</f>
        <v>0.0565</v>
      </c>
      <c r="G165" s="197">
        <f>ROUND(E165*F165,2)</f>
        <v>0.85</v>
      </c>
      <c r="H165" s="197">
        <f>ROUND(G165*($A$16+$A$17)/100,2)</f>
        <v>0</v>
      </c>
      <c r="I165" s="198">
        <f>SUM(G165:H165)</f>
        <v>0.85</v>
      </c>
      <c r="J165" s="257">
        <v>20</v>
      </c>
      <c r="K165" s="214">
        <f>$G$18</f>
        <v>0.0445</v>
      </c>
      <c r="L165" s="197">
        <f>ROUND(J165*K165,2)</f>
        <v>0.89</v>
      </c>
      <c r="M165" s="197">
        <f>ROUND(L165*($A$16+$A$17)/100,2)</f>
        <v>0</v>
      </c>
      <c r="N165" s="198">
        <f>SUM(L165:M165)</f>
        <v>0.89</v>
      </c>
      <c r="O165" s="199">
        <f>SUM(I165,N165)</f>
        <v>1.74</v>
      </c>
      <c r="P165" s="235" t="s">
        <v>328</v>
      </c>
      <c r="Q165" s="446" t="s">
        <v>288</v>
      </c>
      <c r="R165" s="446"/>
      <c r="S165" s="76"/>
      <c r="T165" s="22" t="s">
        <v>54</v>
      </c>
      <c r="U165" s="200">
        <f>O165</f>
        <v>1.74</v>
      </c>
      <c r="V165" s="200">
        <f>ROUND(U165*$S$19,2)</f>
        <v>0.18</v>
      </c>
      <c r="W165" s="197">
        <f>ROUND(SUM(U165:V165)*$AA$19,2)</f>
        <v>0.65</v>
      </c>
      <c r="X165" s="197">
        <f>ROUND(SUM(U165:V165)*$AA$21,2)</f>
        <v>0</v>
      </c>
      <c r="Y165" s="197">
        <f>ROUND(SUM(U165:V165)*$AA$20,2)</f>
        <v>0.03</v>
      </c>
      <c r="Z165" s="201">
        <f>ROUND(U165*$S$20,2)</f>
        <v>1.91</v>
      </c>
      <c r="AA165" s="202">
        <f>SUM(U165:Z165)</f>
        <v>4.51</v>
      </c>
      <c r="AB165" s="203">
        <f>ROUND(AA165*$S$21,2)</f>
        <v>1.35</v>
      </c>
      <c r="AC165" s="204">
        <f>SUM(AA165:AB165)</f>
        <v>5.859999999999999</v>
      </c>
      <c r="AD165" s="205">
        <f>ROUND(AC165*$AD$19/95,2)</f>
        <v>0.31</v>
      </c>
      <c r="AE165" s="206">
        <f>SUM(AC165:AD165)</f>
        <v>6.169999999999999</v>
      </c>
      <c r="AF165" s="84"/>
      <c r="AG165" s="235" t="s">
        <v>328</v>
      </c>
      <c r="AH165" s="446" t="s">
        <v>288</v>
      </c>
      <c r="AI165" s="446"/>
      <c r="AJ165" s="78" t="s">
        <v>54</v>
      </c>
      <c r="AK165" s="78"/>
      <c r="AL165" s="207">
        <f t="shared" si="134"/>
        <v>6.169999999999999</v>
      </c>
      <c r="AM165" s="207"/>
      <c r="AN165" s="207">
        <f t="shared" si="135"/>
        <v>3.6300000000000003</v>
      </c>
      <c r="AO165" s="19"/>
      <c r="AP165" s="84"/>
      <c r="AQ165" s="235" t="s">
        <v>328</v>
      </c>
      <c r="AR165" s="446" t="s">
        <v>288</v>
      </c>
      <c r="AS165" s="446"/>
      <c r="AT165" s="29">
        <v>10</v>
      </c>
      <c r="AU165" s="214">
        <f t="shared" si="122"/>
        <v>0.0565</v>
      </c>
      <c r="AV165" s="269">
        <f t="shared" si="123"/>
        <v>0.57</v>
      </c>
      <c r="AW165" s="269">
        <f t="shared" si="136"/>
        <v>0</v>
      </c>
      <c r="AX165" s="198">
        <f t="shared" si="124"/>
        <v>0.57</v>
      </c>
      <c r="AY165" s="190">
        <v>10</v>
      </c>
      <c r="AZ165" s="214">
        <f t="shared" si="125"/>
        <v>0.0445</v>
      </c>
      <c r="BA165" s="269">
        <f t="shared" si="126"/>
        <v>0.45</v>
      </c>
      <c r="BB165" s="269">
        <f t="shared" si="137"/>
        <v>0</v>
      </c>
      <c r="BC165" s="198">
        <f t="shared" si="127"/>
        <v>0.45</v>
      </c>
      <c r="BD165" s="199">
        <f t="shared" si="128"/>
        <v>1.02</v>
      </c>
      <c r="BE165" s="235" t="s">
        <v>328</v>
      </c>
      <c r="BF165" s="446" t="s">
        <v>288</v>
      </c>
      <c r="BG165" s="446"/>
      <c r="BH165" s="22" t="s">
        <v>54</v>
      </c>
      <c r="BI165" s="200">
        <f t="shared" si="153"/>
        <v>1.02</v>
      </c>
      <c r="BJ165" s="200">
        <f t="shared" si="139"/>
        <v>0.11</v>
      </c>
      <c r="BK165" s="197">
        <f t="shared" si="154"/>
        <v>0.38</v>
      </c>
      <c r="BL165" s="197">
        <f t="shared" si="155"/>
        <v>0</v>
      </c>
      <c r="BM165" s="197">
        <f t="shared" si="156"/>
        <v>0.02</v>
      </c>
      <c r="BN165" s="201">
        <f t="shared" si="157"/>
        <v>1.12</v>
      </c>
      <c r="BO165" s="202">
        <f t="shared" si="158"/>
        <v>2.6500000000000004</v>
      </c>
      <c r="BP165" s="203">
        <f t="shared" si="145"/>
        <v>0.8</v>
      </c>
      <c r="BQ165" s="204">
        <f t="shared" si="159"/>
        <v>3.45</v>
      </c>
      <c r="BR165" s="205">
        <f t="shared" si="147"/>
        <v>0.18</v>
      </c>
      <c r="BS165" s="206">
        <f t="shared" si="160"/>
        <v>3.6300000000000003</v>
      </c>
      <c r="BT165" s="84"/>
    </row>
    <row r="166" spans="1:72" ht="18" customHeight="1">
      <c r="A166" s="84"/>
      <c r="B166" s="233" t="s">
        <v>329</v>
      </c>
      <c r="C166" s="234" t="s">
        <v>330</v>
      </c>
      <c r="D166" s="251"/>
      <c r="E166" s="255"/>
      <c r="F166" s="256"/>
      <c r="G166" s="253"/>
      <c r="H166" s="253"/>
      <c r="I166" s="254"/>
      <c r="J166" s="257"/>
      <c r="K166" s="255"/>
      <c r="L166" s="253"/>
      <c r="M166" s="253"/>
      <c r="N166" s="254"/>
      <c r="O166" s="220"/>
      <c r="P166" s="233" t="s">
        <v>329</v>
      </c>
      <c r="Q166" s="442" t="s">
        <v>330</v>
      </c>
      <c r="R166" s="442"/>
      <c r="S166" s="76"/>
      <c r="T166" s="219"/>
      <c r="U166" s="253"/>
      <c r="V166" s="253"/>
      <c r="W166" s="253"/>
      <c r="X166" s="253"/>
      <c r="Y166" s="253"/>
      <c r="Z166" s="253"/>
      <c r="AA166" s="253"/>
      <c r="AB166" s="253"/>
      <c r="AC166" s="253"/>
      <c r="AD166" s="253"/>
      <c r="AE166" s="220"/>
      <c r="AF166" s="84"/>
      <c r="AG166" s="233" t="s">
        <v>329</v>
      </c>
      <c r="AH166" s="442" t="s">
        <v>330</v>
      </c>
      <c r="AI166" s="442"/>
      <c r="AJ166" s="78"/>
      <c r="AK166" s="78"/>
      <c r="AL166" s="207"/>
      <c r="AM166" s="207"/>
      <c r="AN166" s="207"/>
      <c r="AO166" s="19"/>
      <c r="AP166" s="84"/>
      <c r="AQ166" s="233" t="s">
        <v>329</v>
      </c>
      <c r="AR166" s="442" t="s">
        <v>330</v>
      </c>
      <c r="AS166" s="442"/>
      <c r="AT166" s="29"/>
      <c r="AU166" s="256"/>
      <c r="AV166" s="254"/>
      <c r="AW166" s="254"/>
      <c r="AX166" s="254"/>
      <c r="AY166" s="255"/>
      <c r="AZ166" s="256"/>
      <c r="BA166" s="254"/>
      <c r="BB166" s="254"/>
      <c r="BC166" s="254"/>
      <c r="BD166" s="220"/>
      <c r="BE166" s="233" t="s">
        <v>329</v>
      </c>
      <c r="BF166" s="442" t="s">
        <v>330</v>
      </c>
      <c r="BG166" s="442"/>
      <c r="BH166" s="219"/>
      <c r="BI166" s="253"/>
      <c r="BJ166" s="253"/>
      <c r="BK166" s="253"/>
      <c r="BL166" s="253"/>
      <c r="BM166" s="253"/>
      <c r="BN166" s="253"/>
      <c r="BO166" s="253"/>
      <c r="BP166" s="253"/>
      <c r="BQ166" s="253"/>
      <c r="BR166" s="253"/>
      <c r="BS166" s="220"/>
      <c r="BT166" s="84"/>
    </row>
    <row r="167" spans="1:72" ht="18.75" customHeight="1">
      <c r="A167" s="84"/>
      <c r="B167" s="235" t="s">
        <v>331</v>
      </c>
      <c r="C167" s="236" t="s">
        <v>332</v>
      </c>
      <c r="D167" s="78" t="s">
        <v>53</v>
      </c>
      <c r="E167" s="190">
        <v>10</v>
      </c>
      <c r="F167" s="214">
        <f aca="true" t="shared" si="161" ref="F167:F172">$G$15</f>
        <v>0.0565</v>
      </c>
      <c r="G167" s="197">
        <f aca="true" t="shared" si="162" ref="G167:G172">ROUND(E167*F167,2)</f>
        <v>0.57</v>
      </c>
      <c r="H167" s="197">
        <f aca="true" t="shared" si="163" ref="H167:H172">ROUND(G167*($A$16+$A$17)/100,2)</f>
        <v>0</v>
      </c>
      <c r="I167" s="198">
        <f aca="true" t="shared" si="164" ref="I167:I172">SUM(G167:H167)</f>
        <v>0.57</v>
      </c>
      <c r="J167" s="257">
        <v>20</v>
      </c>
      <c r="K167" s="214">
        <f aca="true" t="shared" si="165" ref="K167:K172">$G$18</f>
        <v>0.0445</v>
      </c>
      <c r="L167" s="197">
        <f aca="true" t="shared" si="166" ref="L167:L172">ROUND(J167*K167,2)</f>
        <v>0.89</v>
      </c>
      <c r="M167" s="197">
        <f aca="true" t="shared" si="167" ref="M167:M172">ROUND(L167*($A$16+$A$17)/100,2)</f>
        <v>0</v>
      </c>
      <c r="N167" s="198">
        <f aca="true" t="shared" si="168" ref="N167:N172">SUM(L167:M167)</f>
        <v>0.89</v>
      </c>
      <c r="O167" s="199">
        <f aca="true" t="shared" si="169" ref="O167:O172">SUM(I167,N167)</f>
        <v>1.46</v>
      </c>
      <c r="P167" s="235" t="s">
        <v>331</v>
      </c>
      <c r="Q167" s="446" t="s">
        <v>332</v>
      </c>
      <c r="R167" s="446"/>
      <c r="S167" s="76"/>
      <c r="T167" s="22" t="s">
        <v>54</v>
      </c>
      <c r="U167" s="200">
        <f aca="true" t="shared" si="170" ref="U167:U172">O167</f>
        <v>1.46</v>
      </c>
      <c r="V167" s="200">
        <f aca="true" t="shared" si="171" ref="V167:V172">ROUND(U167*$S$19,2)</f>
        <v>0.15</v>
      </c>
      <c r="W167" s="197">
        <f aca="true" t="shared" si="172" ref="W167:W172">ROUND(SUM(U167:V167)*$AA$19,2)</f>
        <v>0.55</v>
      </c>
      <c r="X167" s="197">
        <f aca="true" t="shared" si="173" ref="X167:X172">ROUND(SUM(U167:V167)*$AA$21,2)</f>
        <v>0</v>
      </c>
      <c r="Y167" s="197">
        <f aca="true" t="shared" si="174" ref="Y167:Y172">ROUND(SUM(U167:V167)*$AA$20,2)</f>
        <v>0.02</v>
      </c>
      <c r="Z167" s="201">
        <f aca="true" t="shared" si="175" ref="Z167:Z172">ROUND(U167*$S$20,2)</f>
        <v>1.6</v>
      </c>
      <c r="AA167" s="202">
        <f aca="true" t="shared" si="176" ref="AA167:AA172">SUM(U167:Z167)</f>
        <v>3.7800000000000002</v>
      </c>
      <c r="AB167" s="203">
        <f aca="true" t="shared" si="177" ref="AB167:AB172">ROUND(AA167*$S$21,2)</f>
        <v>1.13</v>
      </c>
      <c r="AC167" s="204">
        <f aca="true" t="shared" si="178" ref="AC167:AC172">SUM(AA167:AB167)</f>
        <v>4.91</v>
      </c>
      <c r="AD167" s="205">
        <f aca="true" t="shared" si="179" ref="AD167:AD172">ROUND(AC167*$AD$19/95,2)</f>
        <v>0.26</v>
      </c>
      <c r="AE167" s="206">
        <f aca="true" t="shared" si="180" ref="AE167:AE172">SUM(AC167:AD167)</f>
        <v>5.17</v>
      </c>
      <c r="AF167" s="84"/>
      <c r="AG167" s="235" t="s">
        <v>331</v>
      </c>
      <c r="AH167" s="446" t="s">
        <v>332</v>
      </c>
      <c r="AI167" s="446"/>
      <c r="AJ167" s="78" t="s">
        <v>54</v>
      </c>
      <c r="AK167" s="78"/>
      <c r="AL167" s="207">
        <f t="shared" si="134"/>
        <v>5.17</v>
      </c>
      <c r="AM167" s="207"/>
      <c r="AN167" s="207">
        <f t="shared" si="135"/>
        <v>2.5999999999999996</v>
      </c>
      <c r="AO167" s="19"/>
      <c r="AP167" s="84"/>
      <c r="AQ167" s="235" t="s">
        <v>331</v>
      </c>
      <c r="AR167" s="446" t="s">
        <v>332</v>
      </c>
      <c r="AS167" s="446"/>
      <c r="AT167" s="29">
        <v>5</v>
      </c>
      <c r="AU167" s="214">
        <f t="shared" si="122"/>
        <v>0.0565</v>
      </c>
      <c r="AV167" s="269">
        <f t="shared" si="123"/>
        <v>0.28</v>
      </c>
      <c r="AW167" s="269">
        <f t="shared" si="136"/>
        <v>0</v>
      </c>
      <c r="AX167" s="198">
        <f t="shared" si="124"/>
        <v>0.28</v>
      </c>
      <c r="AY167" s="190">
        <v>10</v>
      </c>
      <c r="AZ167" s="214">
        <f t="shared" si="125"/>
        <v>0.0445</v>
      </c>
      <c r="BA167" s="269">
        <f t="shared" si="126"/>
        <v>0.45</v>
      </c>
      <c r="BB167" s="269">
        <f t="shared" si="137"/>
        <v>0</v>
      </c>
      <c r="BC167" s="198">
        <f t="shared" si="127"/>
        <v>0.45</v>
      </c>
      <c r="BD167" s="199">
        <f t="shared" si="128"/>
        <v>0.73</v>
      </c>
      <c r="BE167" s="235" t="s">
        <v>331</v>
      </c>
      <c r="BF167" s="446" t="s">
        <v>332</v>
      </c>
      <c r="BG167" s="446"/>
      <c r="BH167" s="22" t="s">
        <v>54</v>
      </c>
      <c r="BI167" s="200">
        <f t="shared" si="153"/>
        <v>0.73</v>
      </c>
      <c r="BJ167" s="200">
        <f t="shared" si="139"/>
        <v>0.08</v>
      </c>
      <c r="BK167" s="197">
        <f t="shared" si="154"/>
        <v>0.28</v>
      </c>
      <c r="BL167" s="197">
        <f t="shared" si="155"/>
        <v>0</v>
      </c>
      <c r="BM167" s="197">
        <f t="shared" si="156"/>
        <v>0.01</v>
      </c>
      <c r="BN167" s="201">
        <f t="shared" si="157"/>
        <v>0.8</v>
      </c>
      <c r="BO167" s="202">
        <f t="shared" si="158"/>
        <v>1.9</v>
      </c>
      <c r="BP167" s="203">
        <f t="shared" si="145"/>
        <v>0.57</v>
      </c>
      <c r="BQ167" s="204">
        <f t="shared" si="159"/>
        <v>2.4699999999999998</v>
      </c>
      <c r="BR167" s="205">
        <f t="shared" si="147"/>
        <v>0.13</v>
      </c>
      <c r="BS167" s="206">
        <f t="shared" si="160"/>
        <v>2.5999999999999996</v>
      </c>
      <c r="BT167" s="84"/>
    </row>
    <row r="168" spans="1:72" ht="18.75" customHeight="1">
      <c r="A168" s="84"/>
      <c r="B168" s="235" t="s">
        <v>333</v>
      </c>
      <c r="C168" s="236" t="s">
        <v>260</v>
      </c>
      <c r="D168" s="78" t="s">
        <v>53</v>
      </c>
      <c r="E168" s="190">
        <v>10</v>
      </c>
      <c r="F168" s="214">
        <f t="shared" si="161"/>
        <v>0.0565</v>
      </c>
      <c r="G168" s="197">
        <f t="shared" si="162"/>
        <v>0.57</v>
      </c>
      <c r="H168" s="197">
        <f t="shared" si="163"/>
        <v>0</v>
      </c>
      <c r="I168" s="198">
        <f t="shared" si="164"/>
        <v>0.57</v>
      </c>
      <c r="J168" s="257">
        <v>20</v>
      </c>
      <c r="K168" s="214">
        <f t="shared" si="165"/>
        <v>0.0445</v>
      </c>
      <c r="L168" s="197">
        <f t="shared" si="166"/>
        <v>0.89</v>
      </c>
      <c r="M168" s="197">
        <f t="shared" si="167"/>
        <v>0</v>
      </c>
      <c r="N168" s="198">
        <f t="shared" si="168"/>
        <v>0.89</v>
      </c>
      <c r="O168" s="199">
        <f t="shared" si="169"/>
        <v>1.46</v>
      </c>
      <c r="P168" s="235" t="s">
        <v>333</v>
      </c>
      <c r="Q168" s="446" t="s">
        <v>260</v>
      </c>
      <c r="R168" s="446"/>
      <c r="S168" s="76"/>
      <c r="T168" s="22" t="s">
        <v>54</v>
      </c>
      <c r="U168" s="200">
        <f t="shared" si="170"/>
        <v>1.46</v>
      </c>
      <c r="V168" s="200">
        <f t="shared" si="171"/>
        <v>0.15</v>
      </c>
      <c r="W168" s="197">
        <f t="shared" si="172"/>
        <v>0.55</v>
      </c>
      <c r="X168" s="197">
        <f t="shared" si="173"/>
        <v>0</v>
      </c>
      <c r="Y168" s="197">
        <f t="shared" si="174"/>
        <v>0.02</v>
      </c>
      <c r="Z168" s="201">
        <f t="shared" si="175"/>
        <v>1.6</v>
      </c>
      <c r="AA168" s="202">
        <f t="shared" si="176"/>
        <v>3.7800000000000002</v>
      </c>
      <c r="AB168" s="203">
        <f t="shared" si="177"/>
        <v>1.13</v>
      </c>
      <c r="AC168" s="204">
        <f t="shared" si="178"/>
        <v>4.91</v>
      </c>
      <c r="AD168" s="205">
        <f t="shared" si="179"/>
        <v>0.26</v>
      </c>
      <c r="AE168" s="206">
        <f t="shared" si="180"/>
        <v>5.17</v>
      </c>
      <c r="AF168" s="84"/>
      <c r="AG168" s="235" t="s">
        <v>333</v>
      </c>
      <c r="AH168" s="446" t="s">
        <v>260</v>
      </c>
      <c r="AI168" s="446"/>
      <c r="AJ168" s="78" t="s">
        <v>54</v>
      </c>
      <c r="AK168" s="78"/>
      <c r="AL168" s="207">
        <f t="shared" si="134"/>
        <v>5.17</v>
      </c>
      <c r="AM168" s="207"/>
      <c r="AN168" s="207">
        <f t="shared" si="135"/>
        <v>2.5999999999999996</v>
      </c>
      <c r="AO168" s="19"/>
      <c r="AP168" s="84"/>
      <c r="AQ168" s="235" t="s">
        <v>333</v>
      </c>
      <c r="AR168" s="446" t="s">
        <v>260</v>
      </c>
      <c r="AS168" s="446"/>
      <c r="AT168" s="29">
        <v>5</v>
      </c>
      <c r="AU168" s="214">
        <f t="shared" si="122"/>
        <v>0.0565</v>
      </c>
      <c r="AV168" s="269">
        <f t="shared" si="123"/>
        <v>0.28</v>
      </c>
      <c r="AW168" s="269">
        <f t="shared" si="136"/>
        <v>0</v>
      </c>
      <c r="AX168" s="198">
        <f t="shared" si="124"/>
        <v>0.28</v>
      </c>
      <c r="AY168" s="190">
        <v>10</v>
      </c>
      <c r="AZ168" s="214">
        <f t="shared" si="125"/>
        <v>0.0445</v>
      </c>
      <c r="BA168" s="269">
        <f t="shared" si="126"/>
        <v>0.45</v>
      </c>
      <c r="BB168" s="269">
        <f t="shared" si="137"/>
        <v>0</v>
      </c>
      <c r="BC168" s="198">
        <f t="shared" si="127"/>
        <v>0.45</v>
      </c>
      <c r="BD168" s="199">
        <f t="shared" si="128"/>
        <v>0.73</v>
      </c>
      <c r="BE168" s="235" t="s">
        <v>333</v>
      </c>
      <c r="BF168" s="446" t="s">
        <v>260</v>
      </c>
      <c r="BG168" s="446"/>
      <c r="BH168" s="22" t="s">
        <v>54</v>
      </c>
      <c r="BI168" s="200">
        <f t="shared" si="153"/>
        <v>0.73</v>
      </c>
      <c r="BJ168" s="200">
        <f t="shared" si="139"/>
        <v>0.08</v>
      </c>
      <c r="BK168" s="197">
        <f t="shared" si="154"/>
        <v>0.28</v>
      </c>
      <c r="BL168" s="197">
        <f t="shared" si="155"/>
        <v>0</v>
      </c>
      <c r="BM168" s="197">
        <f t="shared" si="156"/>
        <v>0.01</v>
      </c>
      <c r="BN168" s="201">
        <f t="shared" si="157"/>
        <v>0.8</v>
      </c>
      <c r="BO168" s="202">
        <f t="shared" si="158"/>
        <v>1.9</v>
      </c>
      <c r="BP168" s="203">
        <f t="shared" si="145"/>
        <v>0.57</v>
      </c>
      <c r="BQ168" s="204">
        <f t="shared" si="159"/>
        <v>2.4699999999999998</v>
      </c>
      <c r="BR168" s="205">
        <f t="shared" si="147"/>
        <v>0.13</v>
      </c>
      <c r="BS168" s="206">
        <f t="shared" si="160"/>
        <v>2.5999999999999996</v>
      </c>
      <c r="BT168" s="84"/>
    </row>
    <row r="169" spans="1:72" ht="17.25" customHeight="1">
      <c r="A169" s="84"/>
      <c r="B169" s="235" t="s">
        <v>334</v>
      </c>
      <c r="C169" s="236" t="s">
        <v>335</v>
      </c>
      <c r="D169" s="78" t="s">
        <v>53</v>
      </c>
      <c r="E169" s="190">
        <v>10</v>
      </c>
      <c r="F169" s="214">
        <f t="shared" si="161"/>
        <v>0.0565</v>
      </c>
      <c r="G169" s="197">
        <f t="shared" si="162"/>
        <v>0.57</v>
      </c>
      <c r="H169" s="197">
        <f t="shared" si="163"/>
        <v>0</v>
      </c>
      <c r="I169" s="198">
        <f t="shared" si="164"/>
        <v>0.57</v>
      </c>
      <c r="J169" s="257">
        <v>10</v>
      </c>
      <c r="K169" s="214">
        <f t="shared" si="165"/>
        <v>0.0445</v>
      </c>
      <c r="L169" s="197">
        <f t="shared" si="166"/>
        <v>0.45</v>
      </c>
      <c r="M169" s="197">
        <f t="shared" si="167"/>
        <v>0</v>
      </c>
      <c r="N169" s="198">
        <f t="shared" si="168"/>
        <v>0.45</v>
      </c>
      <c r="O169" s="199">
        <f t="shared" si="169"/>
        <v>1.02</v>
      </c>
      <c r="P169" s="235" t="s">
        <v>334</v>
      </c>
      <c r="Q169" s="446" t="s">
        <v>335</v>
      </c>
      <c r="R169" s="446"/>
      <c r="S169" s="76"/>
      <c r="T169" s="22" t="s">
        <v>54</v>
      </c>
      <c r="U169" s="200">
        <f t="shared" si="170"/>
        <v>1.02</v>
      </c>
      <c r="V169" s="200">
        <f t="shared" si="171"/>
        <v>0.11</v>
      </c>
      <c r="W169" s="197">
        <f t="shared" si="172"/>
        <v>0.38</v>
      </c>
      <c r="X169" s="197">
        <f t="shared" si="173"/>
        <v>0</v>
      </c>
      <c r="Y169" s="197">
        <f t="shared" si="174"/>
        <v>0.02</v>
      </c>
      <c r="Z169" s="201">
        <f t="shared" si="175"/>
        <v>1.12</v>
      </c>
      <c r="AA169" s="202">
        <f t="shared" si="176"/>
        <v>2.6500000000000004</v>
      </c>
      <c r="AB169" s="203">
        <f t="shared" si="177"/>
        <v>0.8</v>
      </c>
      <c r="AC169" s="204">
        <f t="shared" si="178"/>
        <v>3.45</v>
      </c>
      <c r="AD169" s="205">
        <f t="shared" si="179"/>
        <v>0.18</v>
      </c>
      <c r="AE169" s="206">
        <f t="shared" si="180"/>
        <v>3.6300000000000003</v>
      </c>
      <c r="AF169" s="84"/>
      <c r="AG169" s="235" t="s">
        <v>334</v>
      </c>
      <c r="AH169" s="446" t="s">
        <v>335</v>
      </c>
      <c r="AI169" s="446"/>
      <c r="AJ169" s="78" t="s">
        <v>54</v>
      </c>
      <c r="AK169" s="78"/>
      <c r="AL169" s="207">
        <f t="shared" si="134"/>
        <v>3.6300000000000003</v>
      </c>
      <c r="AM169" s="207"/>
      <c r="AN169" s="207">
        <f t="shared" si="135"/>
        <v>1.78</v>
      </c>
      <c r="AO169" s="19"/>
      <c r="AP169" s="84"/>
      <c r="AQ169" s="235" t="s">
        <v>334</v>
      </c>
      <c r="AR169" s="446" t="s">
        <v>335</v>
      </c>
      <c r="AS169" s="446"/>
      <c r="AT169" s="29">
        <v>5</v>
      </c>
      <c r="AU169" s="214">
        <f t="shared" si="122"/>
        <v>0.0565</v>
      </c>
      <c r="AV169" s="269">
        <f t="shared" si="123"/>
        <v>0.28</v>
      </c>
      <c r="AW169" s="269">
        <f t="shared" si="136"/>
        <v>0</v>
      </c>
      <c r="AX169" s="198">
        <f t="shared" si="124"/>
        <v>0.28</v>
      </c>
      <c r="AY169" s="190">
        <v>5</v>
      </c>
      <c r="AZ169" s="214">
        <f t="shared" si="125"/>
        <v>0.0445</v>
      </c>
      <c r="BA169" s="269">
        <f t="shared" si="126"/>
        <v>0.22</v>
      </c>
      <c r="BB169" s="269">
        <f t="shared" si="137"/>
        <v>0</v>
      </c>
      <c r="BC169" s="198">
        <f t="shared" si="127"/>
        <v>0.22</v>
      </c>
      <c r="BD169" s="199">
        <f t="shared" si="128"/>
        <v>0.5</v>
      </c>
      <c r="BE169" s="235" t="s">
        <v>334</v>
      </c>
      <c r="BF169" s="446" t="s">
        <v>335</v>
      </c>
      <c r="BG169" s="446"/>
      <c r="BH169" s="22" t="s">
        <v>54</v>
      </c>
      <c r="BI169" s="200">
        <f t="shared" si="153"/>
        <v>0.5</v>
      </c>
      <c r="BJ169" s="200">
        <f t="shared" si="139"/>
        <v>0.05</v>
      </c>
      <c r="BK169" s="197">
        <f t="shared" si="154"/>
        <v>0.19</v>
      </c>
      <c r="BL169" s="197">
        <f t="shared" si="155"/>
        <v>0</v>
      </c>
      <c r="BM169" s="197">
        <f t="shared" si="156"/>
        <v>0.01</v>
      </c>
      <c r="BN169" s="201">
        <f t="shared" si="157"/>
        <v>0.55</v>
      </c>
      <c r="BO169" s="202">
        <f t="shared" si="158"/>
        <v>1.3</v>
      </c>
      <c r="BP169" s="203">
        <f t="shared" si="145"/>
        <v>0.39</v>
      </c>
      <c r="BQ169" s="204">
        <f t="shared" si="159"/>
        <v>1.69</v>
      </c>
      <c r="BR169" s="205">
        <f t="shared" si="147"/>
        <v>0.09</v>
      </c>
      <c r="BS169" s="206">
        <f t="shared" si="160"/>
        <v>1.78</v>
      </c>
      <c r="BT169" s="84"/>
    </row>
    <row r="170" spans="1:72" ht="20.25" customHeight="1">
      <c r="A170" s="84"/>
      <c r="B170" s="235" t="s">
        <v>336</v>
      </c>
      <c r="C170" s="236" t="s">
        <v>268</v>
      </c>
      <c r="D170" s="78" t="s">
        <v>53</v>
      </c>
      <c r="E170" s="190">
        <v>10</v>
      </c>
      <c r="F170" s="214">
        <f t="shared" si="161"/>
        <v>0.0565</v>
      </c>
      <c r="G170" s="197">
        <f t="shared" si="162"/>
        <v>0.57</v>
      </c>
      <c r="H170" s="197">
        <f t="shared" si="163"/>
        <v>0</v>
      </c>
      <c r="I170" s="198">
        <f t="shared" si="164"/>
        <v>0.57</v>
      </c>
      <c r="J170" s="257">
        <v>20</v>
      </c>
      <c r="K170" s="214">
        <f t="shared" si="165"/>
        <v>0.0445</v>
      </c>
      <c r="L170" s="197">
        <f t="shared" si="166"/>
        <v>0.89</v>
      </c>
      <c r="M170" s="197">
        <f t="shared" si="167"/>
        <v>0</v>
      </c>
      <c r="N170" s="198">
        <f t="shared" si="168"/>
        <v>0.89</v>
      </c>
      <c r="O170" s="199">
        <f t="shared" si="169"/>
        <v>1.46</v>
      </c>
      <c r="P170" s="235" t="s">
        <v>336</v>
      </c>
      <c r="Q170" s="446" t="s">
        <v>268</v>
      </c>
      <c r="R170" s="446"/>
      <c r="S170" s="76"/>
      <c r="T170" s="22" t="s">
        <v>54</v>
      </c>
      <c r="U170" s="200">
        <f t="shared" si="170"/>
        <v>1.46</v>
      </c>
      <c r="V170" s="200">
        <f t="shared" si="171"/>
        <v>0.15</v>
      </c>
      <c r="W170" s="197">
        <f t="shared" si="172"/>
        <v>0.55</v>
      </c>
      <c r="X170" s="197">
        <f t="shared" si="173"/>
        <v>0</v>
      </c>
      <c r="Y170" s="197">
        <f t="shared" si="174"/>
        <v>0.02</v>
      </c>
      <c r="Z170" s="201">
        <f t="shared" si="175"/>
        <v>1.6</v>
      </c>
      <c r="AA170" s="202">
        <f t="shared" si="176"/>
        <v>3.7800000000000002</v>
      </c>
      <c r="AB170" s="203">
        <f t="shared" si="177"/>
        <v>1.13</v>
      </c>
      <c r="AC170" s="204">
        <f t="shared" si="178"/>
        <v>4.91</v>
      </c>
      <c r="AD170" s="205">
        <f t="shared" si="179"/>
        <v>0.26</v>
      </c>
      <c r="AE170" s="206">
        <f t="shared" si="180"/>
        <v>5.17</v>
      </c>
      <c r="AF170" s="84"/>
      <c r="AG170" s="235" t="s">
        <v>336</v>
      </c>
      <c r="AH170" s="446" t="s">
        <v>268</v>
      </c>
      <c r="AI170" s="446"/>
      <c r="AJ170" s="78" t="s">
        <v>54</v>
      </c>
      <c r="AK170" s="78"/>
      <c r="AL170" s="207">
        <f t="shared" si="134"/>
        <v>5.17</v>
      </c>
      <c r="AM170" s="207"/>
      <c r="AN170" s="207">
        <f t="shared" si="135"/>
        <v>2.5999999999999996</v>
      </c>
      <c r="AO170" s="19"/>
      <c r="AP170" s="84"/>
      <c r="AQ170" s="235" t="s">
        <v>336</v>
      </c>
      <c r="AR170" s="446" t="s">
        <v>268</v>
      </c>
      <c r="AS170" s="446"/>
      <c r="AT170" s="29">
        <v>5</v>
      </c>
      <c r="AU170" s="214">
        <f t="shared" si="122"/>
        <v>0.0565</v>
      </c>
      <c r="AV170" s="269">
        <f t="shared" si="123"/>
        <v>0.28</v>
      </c>
      <c r="AW170" s="269">
        <f t="shared" si="136"/>
        <v>0</v>
      </c>
      <c r="AX170" s="198">
        <f t="shared" si="124"/>
        <v>0.28</v>
      </c>
      <c r="AY170" s="190">
        <v>10</v>
      </c>
      <c r="AZ170" s="214">
        <f t="shared" si="125"/>
        <v>0.0445</v>
      </c>
      <c r="BA170" s="269">
        <f t="shared" si="126"/>
        <v>0.45</v>
      </c>
      <c r="BB170" s="269">
        <f t="shared" si="137"/>
        <v>0</v>
      </c>
      <c r="BC170" s="198">
        <f t="shared" si="127"/>
        <v>0.45</v>
      </c>
      <c r="BD170" s="199">
        <f t="shared" si="128"/>
        <v>0.73</v>
      </c>
      <c r="BE170" s="235" t="s">
        <v>336</v>
      </c>
      <c r="BF170" s="446" t="s">
        <v>268</v>
      </c>
      <c r="BG170" s="446"/>
      <c r="BH170" s="22" t="s">
        <v>54</v>
      </c>
      <c r="BI170" s="200">
        <f t="shared" si="153"/>
        <v>0.73</v>
      </c>
      <c r="BJ170" s="200">
        <f t="shared" si="139"/>
        <v>0.08</v>
      </c>
      <c r="BK170" s="197">
        <f t="shared" si="154"/>
        <v>0.28</v>
      </c>
      <c r="BL170" s="197">
        <f t="shared" si="155"/>
        <v>0</v>
      </c>
      <c r="BM170" s="197">
        <f t="shared" si="156"/>
        <v>0.01</v>
      </c>
      <c r="BN170" s="201">
        <f t="shared" si="157"/>
        <v>0.8</v>
      </c>
      <c r="BO170" s="202">
        <f t="shared" si="158"/>
        <v>1.9</v>
      </c>
      <c r="BP170" s="203">
        <f t="shared" si="145"/>
        <v>0.57</v>
      </c>
      <c r="BQ170" s="204">
        <f t="shared" si="159"/>
        <v>2.4699999999999998</v>
      </c>
      <c r="BR170" s="205">
        <f t="shared" si="147"/>
        <v>0.13</v>
      </c>
      <c r="BS170" s="206">
        <f t="shared" si="160"/>
        <v>2.5999999999999996</v>
      </c>
      <c r="BT170" s="84"/>
    </row>
    <row r="171" spans="1:72" ht="17.25" customHeight="1">
      <c r="A171" s="84"/>
      <c r="B171" s="235" t="s">
        <v>337</v>
      </c>
      <c r="C171" s="236" t="s">
        <v>338</v>
      </c>
      <c r="D171" s="78" t="s">
        <v>53</v>
      </c>
      <c r="E171" s="190">
        <v>10</v>
      </c>
      <c r="F171" s="214">
        <f t="shared" si="161"/>
        <v>0.0565</v>
      </c>
      <c r="G171" s="197">
        <f t="shared" si="162"/>
        <v>0.57</v>
      </c>
      <c r="H171" s="197">
        <f t="shared" si="163"/>
        <v>0</v>
      </c>
      <c r="I171" s="198">
        <f t="shared" si="164"/>
        <v>0.57</v>
      </c>
      <c r="J171" s="257">
        <v>20</v>
      </c>
      <c r="K171" s="214">
        <f t="shared" si="165"/>
        <v>0.0445</v>
      </c>
      <c r="L171" s="197">
        <f t="shared" si="166"/>
        <v>0.89</v>
      </c>
      <c r="M171" s="197">
        <f t="shared" si="167"/>
        <v>0</v>
      </c>
      <c r="N171" s="198">
        <f t="shared" si="168"/>
        <v>0.89</v>
      </c>
      <c r="O171" s="199">
        <f t="shared" si="169"/>
        <v>1.46</v>
      </c>
      <c r="P171" s="235" t="s">
        <v>337</v>
      </c>
      <c r="Q171" s="446" t="s">
        <v>338</v>
      </c>
      <c r="R171" s="446"/>
      <c r="S171" s="76"/>
      <c r="T171" s="22" t="s">
        <v>54</v>
      </c>
      <c r="U171" s="200">
        <f t="shared" si="170"/>
        <v>1.46</v>
      </c>
      <c r="V171" s="200">
        <f t="shared" si="171"/>
        <v>0.15</v>
      </c>
      <c r="W171" s="197">
        <f t="shared" si="172"/>
        <v>0.55</v>
      </c>
      <c r="X171" s="197">
        <f t="shared" si="173"/>
        <v>0</v>
      </c>
      <c r="Y171" s="197">
        <f t="shared" si="174"/>
        <v>0.02</v>
      </c>
      <c r="Z171" s="201">
        <f t="shared" si="175"/>
        <v>1.6</v>
      </c>
      <c r="AA171" s="202">
        <f t="shared" si="176"/>
        <v>3.7800000000000002</v>
      </c>
      <c r="AB171" s="203">
        <f t="shared" si="177"/>
        <v>1.13</v>
      </c>
      <c r="AC171" s="204">
        <f t="shared" si="178"/>
        <v>4.91</v>
      </c>
      <c r="AD171" s="205">
        <f t="shared" si="179"/>
        <v>0.26</v>
      </c>
      <c r="AE171" s="206">
        <f t="shared" si="180"/>
        <v>5.17</v>
      </c>
      <c r="AF171" s="84"/>
      <c r="AG171" s="235" t="s">
        <v>337</v>
      </c>
      <c r="AH171" s="446" t="s">
        <v>338</v>
      </c>
      <c r="AI171" s="446"/>
      <c r="AJ171" s="78" t="s">
        <v>54</v>
      </c>
      <c r="AK171" s="78"/>
      <c r="AL171" s="207">
        <f t="shared" si="134"/>
        <v>5.17</v>
      </c>
      <c r="AM171" s="207"/>
      <c r="AN171" s="207">
        <f t="shared" si="135"/>
        <v>2.5999999999999996</v>
      </c>
      <c r="AO171" s="19"/>
      <c r="AP171" s="84"/>
      <c r="AQ171" s="235" t="s">
        <v>337</v>
      </c>
      <c r="AR171" s="446" t="s">
        <v>338</v>
      </c>
      <c r="AS171" s="446"/>
      <c r="AT171" s="29">
        <v>5</v>
      </c>
      <c r="AU171" s="214">
        <f t="shared" si="122"/>
        <v>0.0565</v>
      </c>
      <c r="AV171" s="269">
        <f t="shared" si="123"/>
        <v>0.28</v>
      </c>
      <c r="AW171" s="269">
        <f t="shared" si="136"/>
        <v>0</v>
      </c>
      <c r="AX171" s="198">
        <f t="shared" si="124"/>
        <v>0.28</v>
      </c>
      <c r="AY171" s="190">
        <v>10</v>
      </c>
      <c r="AZ171" s="214">
        <f t="shared" si="125"/>
        <v>0.0445</v>
      </c>
      <c r="BA171" s="269">
        <f t="shared" si="126"/>
        <v>0.45</v>
      </c>
      <c r="BB171" s="269">
        <f t="shared" si="137"/>
        <v>0</v>
      </c>
      <c r="BC171" s="198">
        <f t="shared" si="127"/>
        <v>0.45</v>
      </c>
      <c r="BD171" s="199">
        <f t="shared" si="128"/>
        <v>0.73</v>
      </c>
      <c r="BE171" s="235" t="s">
        <v>337</v>
      </c>
      <c r="BF171" s="446" t="s">
        <v>338</v>
      </c>
      <c r="BG171" s="446"/>
      <c r="BH171" s="22" t="s">
        <v>54</v>
      </c>
      <c r="BI171" s="200">
        <f t="shared" si="153"/>
        <v>0.73</v>
      </c>
      <c r="BJ171" s="200">
        <f t="shared" si="139"/>
        <v>0.08</v>
      </c>
      <c r="BK171" s="197">
        <f t="shared" si="154"/>
        <v>0.28</v>
      </c>
      <c r="BL171" s="197">
        <f t="shared" si="155"/>
        <v>0</v>
      </c>
      <c r="BM171" s="197">
        <f t="shared" si="156"/>
        <v>0.01</v>
      </c>
      <c r="BN171" s="201">
        <f t="shared" si="157"/>
        <v>0.8</v>
      </c>
      <c r="BO171" s="202">
        <f t="shared" si="158"/>
        <v>1.9</v>
      </c>
      <c r="BP171" s="203">
        <f t="shared" si="145"/>
        <v>0.57</v>
      </c>
      <c r="BQ171" s="204">
        <f t="shared" si="159"/>
        <v>2.4699999999999998</v>
      </c>
      <c r="BR171" s="205">
        <f t="shared" si="147"/>
        <v>0.13</v>
      </c>
      <c r="BS171" s="206">
        <f t="shared" si="160"/>
        <v>2.5999999999999996</v>
      </c>
      <c r="BT171" s="84"/>
    </row>
    <row r="172" spans="1:72" ht="18" customHeight="1">
      <c r="A172" s="84"/>
      <c r="B172" s="235" t="s">
        <v>339</v>
      </c>
      <c r="C172" s="236" t="s">
        <v>340</v>
      </c>
      <c r="D172" s="78" t="s">
        <v>53</v>
      </c>
      <c r="E172" s="190">
        <v>15</v>
      </c>
      <c r="F172" s="214">
        <f t="shared" si="161"/>
        <v>0.0565</v>
      </c>
      <c r="G172" s="197">
        <f t="shared" si="162"/>
        <v>0.85</v>
      </c>
      <c r="H172" s="197">
        <f t="shared" si="163"/>
        <v>0</v>
      </c>
      <c r="I172" s="198">
        <f t="shared" si="164"/>
        <v>0.85</v>
      </c>
      <c r="J172" s="257">
        <v>20</v>
      </c>
      <c r="K172" s="214">
        <f t="shared" si="165"/>
        <v>0.0445</v>
      </c>
      <c r="L172" s="197">
        <f t="shared" si="166"/>
        <v>0.89</v>
      </c>
      <c r="M172" s="197">
        <f t="shared" si="167"/>
        <v>0</v>
      </c>
      <c r="N172" s="198">
        <f t="shared" si="168"/>
        <v>0.89</v>
      </c>
      <c r="O172" s="199">
        <f t="shared" si="169"/>
        <v>1.74</v>
      </c>
      <c r="P172" s="235" t="s">
        <v>339</v>
      </c>
      <c r="Q172" s="446" t="s">
        <v>340</v>
      </c>
      <c r="R172" s="446"/>
      <c r="S172" s="76"/>
      <c r="T172" s="22" t="s">
        <v>54</v>
      </c>
      <c r="U172" s="200">
        <f t="shared" si="170"/>
        <v>1.74</v>
      </c>
      <c r="V172" s="200">
        <f t="shared" si="171"/>
        <v>0.18</v>
      </c>
      <c r="W172" s="197">
        <f t="shared" si="172"/>
        <v>0.65</v>
      </c>
      <c r="X172" s="197">
        <f t="shared" si="173"/>
        <v>0</v>
      </c>
      <c r="Y172" s="197">
        <f t="shared" si="174"/>
        <v>0.03</v>
      </c>
      <c r="Z172" s="201">
        <f t="shared" si="175"/>
        <v>1.91</v>
      </c>
      <c r="AA172" s="202">
        <f t="shared" si="176"/>
        <v>4.51</v>
      </c>
      <c r="AB172" s="203">
        <f t="shared" si="177"/>
        <v>1.35</v>
      </c>
      <c r="AC172" s="204">
        <f t="shared" si="178"/>
        <v>5.859999999999999</v>
      </c>
      <c r="AD172" s="205">
        <f t="shared" si="179"/>
        <v>0.31</v>
      </c>
      <c r="AE172" s="206">
        <f t="shared" si="180"/>
        <v>6.169999999999999</v>
      </c>
      <c r="AF172" s="84"/>
      <c r="AG172" s="235" t="s">
        <v>339</v>
      </c>
      <c r="AH172" s="446" t="s">
        <v>340</v>
      </c>
      <c r="AI172" s="446"/>
      <c r="AJ172" s="78" t="s">
        <v>54</v>
      </c>
      <c r="AK172" s="78"/>
      <c r="AL172" s="207">
        <f t="shared" si="134"/>
        <v>6.169999999999999</v>
      </c>
      <c r="AM172" s="207"/>
      <c r="AN172" s="207">
        <f t="shared" si="135"/>
        <v>3.6300000000000003</v>
      </c>
      <c r="AO172" s="19"/>
      <c r="AP172" s="84"/>
      <c r="AQ172" s="235" t="s">
        <v>339</v>
      </c>
      <c r="AR172" s="446" t="s">
        <v>340</v>
      </c>
      <c r="AS172" s="446"/>
      <c r="AT172" s="29">
        <v>10</v>
      </c>
      <c r="AU172" s="214">
        <f t="shared" si="122"/>
        <v>0.0565</v>
      </c>
      <c r="AV172" s="269">
        <f t="shared" si="123"/>
        <v>0.57</v>
      </c>
      <c r="AW172" s="269">
        <f t="shared" si="136"/>
        <v>0</v>
      </c>
      <c r="AX172" s="198">
        <f t="shared" si="124"/>
        <v>0.57</v>
      </c>
      <c r="AY172" s="190">
        <v>10</v>
      </c>
      <c r="AZ172" s="214">
        <f t="shared" si="125"/>
        <v>0.0445</v>
      </c>
      <c r="BA172" s="269">
        <f t="shared" si="126"/>
        <v>0.45</v>
      </c>
      <c r="BB172" s="269">
        <f t="shared" si="137"/>
        <v>0</v>
      </c>
      <c r="BC172" s="198">
        <f t="shared" si="127"/>
        <v>0.45</v>
      </c>
      <c r="BD172" s="199">
        <f t="shared" si="128"/>
        <v>1.02</v>
      </c>
      <c r="BE172" s="235" t="s">
        <v>339</v>
      </c>
      <c r="BF172" s="446" t="s">
        <v>340</v>
      </c>
      <c r="BG172" s="446"/>
      <c r="BH172" s="22" t="s">
        <v>54</v>
      </c>
      <c r="BI172" s="200">
        <f t="shared" si="153"/>
        <v>1.02</v>
      </c>
      <c r="BJ172" s="200">
        <f t="shared" si="139"/>
        <v>0.11</v>
      </c>
      <c r="BK172" s="197">
        <f t="shared" si="154"/>
        <v>0.38</v>
      </c>
      <c r="BL172" s="197">
        <f t="shared" si="155"/>
        <v>0</v>
      </c>
      <c r="BM172" s="197">
        <f t="shared" si="156"/>
        <v>0.02</v>
      </c>
      <c r="BN172" s="201">
        <f t="shared" si="157"/>
        <v>1.12</v>
      </c>
      <c r="BO172" s="202">
        <f t="shared" si="158"/>
        <v>2.6500000000000004</v>
      </c>
      <c r="BP172" s="203">
        <f t="shared" si="145"/>
        <v>0.8</v>
      </c>
      <c r="BQ172" s="204">
        <f t="shared" si="159"/>
        <v>3.45</v>
      </c>
      <c r="BR172" s="205">
        <f t="shared" si="147"/>
        <v>0.18</v>
      </c>
      <c r="BS172" s="206">
        <f t="shared" si="160"/>
        <v>3.6300000000000003</v>
      </c>
      <c r="BT172" s="84"/>
    </row>
    <row r="173" spans="1:72" ht="19.5" customHeight="1">
      <c r="A173" s="84"/>
      <c r="B173" s="233" t="s">
        <v>342</v>
      </c>
      <c r="C173" s="234" t="s">
        <v>343</v>
      </c>
      <c r="D173" s="251"/>
      <c r="E173" s="255"/>
      <c r="F173" s="256"/>
      <c r="G173" s="253"/>
      <c r="H173" s="253"/>
      <c r="I173" s="254"/>
      <c r="J173" s="257"/>
      <c r="K173" s="255"/>
      <c r="L173" s="253"/>
      <c r="M173" s="253"/>
      <c r="N173" s="254"/>
      <c r="O173" s="220"/>
      <c r="P173" s="233" t="s">
        <v>342</v>
      </c>
      <c r="Q173" s="442" t="s">
        <v>343</v>
      </c>
      <c r="R173" s="442"/>
      <c r="S173" s="76"/>
      <c r="T173" s="219"/>
      <c r="U173" s="253"/>
      <c r="V173" s="253"/>
      <c r="W173" s="253"/>
      <c r="X173" s="253"/>
      <c r="Y173" s="253"/>
      <c r="Z173" s="253"/>
      <c r="AA173" s="253"/>
      <c r="AB173" s="253"/>
      <c r="AC173" s="253"/>
      <c r="AD173" s="253"/>
      <c r="AE173" s="220"/>
      <c r="AF173" s="84"/>
      <c r="AG173" s="233" t="s">
        <v>342</v>
      </c>
      <c r="AH173" s="442" t="s">
        <v>343</v>
      </c>
      <c r="AI173" s="442"/>
      <c r="AJ173" s="78"/>
      <c r="AK173" s="78"/>
      <c r="AL173" s="207"/>
      <c r="AM173" s="207"/>
      <c r="AN173" s="207"/>
      <c r="AO173" s="19"/>
      <c r="AP173" s="84"/>
      <c r="AQ173" s="233" t="s">
        <v>342</v>
      </c>
      <c r="AR173" s="442" t="s">
        <v>343</v>
      </c>
      <c r="AS173" s="442"/>
      <c r="AT173" s="29"/>
      <c r="AU173" s="256"/>
      <c r="AV173" s="254"/>
      <c r="AW173" s="254"/>
      <c r="AX173" s="254"/>
      <c r="AY173" s="255"/>
      <c r="AZ173" s="256"/>
      <c r="BA173" s="254"/>
      <c r="BB173" s="254"/>
      <c r="BC173" s="254"/>
      <c r="BD173" s="220"/>
      <c r="BE173" s="233" t="s">
        <v>342</v>
      </c>
      <c r="BF173" s="442" t="s">
        <v>343</v>
      </c>
      <c r="BG173" s="442"/>
      <c r="BH173" s="219"/>
      <c r="BI173" s="253"/>
      <c r="BJ173" s="253"/>
      <c r="BK173" s="253"/>
      <c r="BL173" s="253"/>
      <c r="BM173" s="253"/>
      <c r="BN173" s="253"/>
      <c r="BO173" s="253"/>
      <c r="BP173" s="253"/>
      <c r="BQ173" s="253"/>
      <c r="BR173" s="253"/>
      <c r="BS173" s="220"/>
      <c r="BT173" s="84"/>
    </row>
    <row r="174" spans="1:72" ht="18" customHeight="1">
      <c r="A174" s="84"/>
      <c r="B174" s="235" t="s">
        <v>344</v>
      </c>
      <c r="C174" s="236" t="s">
        <v>345</v>
      </c>
      <c r="D174" s="78" t="s">
        <v>53</v>
      </c>
      <c r="E174" s="307">
        <v>0</v>
      </c>
      <c r="F174" s="214">
        <f>$G$15</f>
        <v>0.0565</v>
      </c>
      <c r="G174" s="197">
        <f>ROUND(E174*F174,2)</f>
        <v>0</v>
      </c>
      <c r="H174" s="197">
        <f>ROUND(G174*($A$16+$A$17)/100,2)</f>
        <v>0</v>
      </c>
      <c r="I174" s="198">
        <f>SUM(G174:H174)</f>
        <v>0</v>
      </c>
      <c r="J174" s="257">
        <v>15</v>
      </c>
      <c r="K174" s="214">
        <f>G21</f>
        <v>0.0445</v>
      </c>
      <c r="L174" s="197">
        <f>ROUND(J174*K174,2)</f>
        <v>0.67</v>
      </c>
      <c r="M174" s="197">
        <f>ROUND(L174*($A$16+$A$17)/100,2)</f>
        <v>0</v>
      </c>
      <c r="N174" s="198">
        <f>SUM(L174:M174)</f>
        <v>0.67</v>
      </c>
      <c r="O174" s="199">
        <f>SUM(I174,N174)</f>
        <v>0.67</v>
      </c>
      <c r="P174" s="235" t="s">
        <v>344</v>
      </c>
      <c r="Q174" s="446" t="s">
        <v>345</v>
      </c>
      <c r="R174" s="446"/>
      <c r="S174" s="76"/>
      <c r="T174" s="22" t="s">
        <v>715</v>
      </c>
      <c r="U174" s="200">
        <f>O174</f>
        <v>0.67</v>
      </c>
      <c r="V174" s="200">
        <f>ROUND(U174*$S$19,2)</f>
        <v>0.07</v>
      </c>
      <c r="W174" s="197">
        <f>ROUND(SUM(U174:V174)*$AA$19,2)</f>
        <v>0.25</v>
      </c>
      <c r="X174" s="197">
        <f>ROUND(SUM(U174:V174)*$AA$21,2)</f>
        <v>0</v>
      </c>
      <c r="Y174" s="197">
        <f>ROUND(SUM(U174:V174)*$AA$20,2)</f>
        <v>0.01</v>
      </c>
      <c r="Z174" s="201">
        <f>ROUND(U174*$S$20,2)</f>
        <v>0.74</v>
      </c>
      <c r="AA174" s="202">
        <f>SUM(U174:Z174)</f>
        <v>1.74</v>
      </c>
      <c r="AB174" s="203">
        <f>ROUND(AA174*$S$21,2)</f>
        <v>0.52</v>
      </c>
      <c r="AC174" s="204">
        <f>SUM(AA174:AB174)</f>
        <v>2.26</v>
      </c>
      <c r="AD174" s="205">
        <f>ROUND(AC174*$AD$19/95,2)</f>
        <v>0.12</v>
      </c>
      <c r="AE174" s="206">
        <f>SUM(AC174:AD174)</f>
        <v>2.38</v>
      </c>
      <c r="AF174" s="84"/>
      <c r="AG174" s="235" t="s">
        <v>344</v>
      </c>
      <c r="AH174" s="446" t="s">
        <v>345</v>
      </c>
      <c r="AI174" s="446"/>
      <c r="AJ174" s="78" t="s">
        <v>54</v>
      </c>
      <c r="AK174" s="78"/>
      <c r="AL174" s="207">
        <f t="shared" si="134"/>
        <v>2.38</v>
      </c>
      <c r="AM174" s="207"/>
      <c r="AN174" s="207">
        <f t="shared" si="135"/>
        <v>1.6</v>
      </c>
      <c r="AO174" s="19"/>
      <c r="AP174" s="84"/>
      <c r="AQ174" s="235" t="s">
        <v>344</v>
      </c>
      <c r="AR174" s="446" t="s">
        <v>345</v>
      </c>
      <c r="AS174" s="446"/>
      <c r="AT174" s="29">
        <v>0</v>
      </c>
      <c r="AU174" s="214">
        <f t="shared" si="122"/>
        <v>0.0565</v>
      </c>
      <c r="AV174" s="269">
        <f t="shared" si="123"/>
        <v>0</v>
      </c>
      <c r="AW174" s="269">
        <f t="shared" si="136"/>
        <v>0</v>
      </c>
      <c r="AX174" s="198">
        <f t="shared" si="124"/>
        <v>0</v>
      </c>
      <c r="AY174" s="307">
        <v>10</v>
      </c>
      <c r="AZ174" s="214">
        <f t="shared" si="125"/>
        <v>0.0445</v>
      </c>
      <c r="BA174" s="269">
        <f t="shared" si="126"/>
        <v>0.45</v>
      </c>
      <c r="BB174" s="269">
        <f t="shared" si="137"/>
        <v>0</v>
      </c>
      <c r="BC174" s="198">
        <f t="shared" si="127"/>
        <v>0.45</v>
      </c>
      <c r="BD174" s="199">
        <f t="shared" si="128"/>
        <v>0.45</v>
      </c>
      <c r="BE174" s="235" t="s">
        <v>344</v>
      </c>
      <c r="BF174" s="446" t="s">
        <v>345</v>
      </c>
      <c r="BG174" s="446"/>
      <c r="BH174" s="22" t="s">
        <v>54</v>
      </c>
      <c r="BI174" s="200">
        <f t="shared" si="153"/>
        <v>0.45</v>
      </c>
      <c r="BJ174" s="200">
        <f t="shared" si="139"/>
        <v>0.05</v>
      </c>
      <c r="BK174" s="197">
        <f t="shared" si="154"/>
        <v>0.17</v>
      </c>
      <c r="BL174" s="197">
        <f t="shared" si="155"/>
        <v>0</v>
      </c>
      <c r="BM174" s="197">
        <f t="shared" si="156"/>
        <v>0.01</v>
      </c>
      <c r="BN174" s="201">
        <f t="shared" si="157"/>
        <v>0.49</v>
      </c>
      <c r="BO174" s="202">
        <f t="shared" si="158"/>
        <v>1.17</v>
      </c>
      <c r="BP174" s="203">
        <f t="shared" si="145"/>
        <v>0.35</v>
      </c>
      <c r="BQ174" s="204">
        <f t="shared" si="159"/>
        <v>1.52</v>
      </c>
      <c r="BR174" s="205">
        <f t="shared" si="147"/>
        <v>0.08</v>
      </c>
      <c r="BS174" s="206">
        <f t="shared" si="160"/>
        <v>1.6</v>
      </c>
      <c r="BT174" s="84"/>
    </row>
    <row r="175" spans="1:72" ht="19.5" customHeight="1">
      <c r="A175" s="84"/>
      <c r="B175" s="235" t="s">
        <v>346</v>
      </c>
      <c r="C175" s="236" t="s">
        <v>347</v>
      </c>
      <c r="D175" s="78" t="s">
        <v>53</v>
      </c>
      <c r="E175" s="307">
        <v>10</v>
      </c>
      <c r="F175" s="214">
        <f>$G$15</f>
        <v>0.0565</v>
      </c>
      <c r="G175" s="197">
        <f>ROUND(E175*F175,2)</f>
        <v>0.57</v>
      </c>
      <c r="H175" s="197">
        <f>ROUND(G175*($A$16+$A$17)/100,2)</f>
        <v>0</v>
      </c>
      <c r="I175" s="198">
        <f>SUM(G175:H175)</f>
        <v>0.57</v>
      </c>
      <c r="J175" s="257">
        <v>0</v>
      </c>
      <c r="K175" s="214">
        <f>$G$18</f>
        <v>0.0445</v>
      </c>
      <c r="L175" s="197">
        <f>ROUND(J175*K175,2)</f>
        <v>0</v>
      </c>
      <c r="M175" s="197">
        <f>ROUND(L175*($A$16+$A$17)/100,2)</f>
        <v>0</v>
      </c>
      <c r="N175" s="198">
        <f>SUM(L175:M175)</f>
        <v>0</v>
      </c>
      <c r="O175" s="199">
        <f>SUM(I175,N175)</f>
        <v>0.57</v>
      </c>
      <c r="P175" s="235" t="s">
        <v>346</v>
      </c>
      <c r="Q175" s="446" t="s">
        <v>347</v>
      </c>
      <c r="R175" s="446"/>
      <c r="S175" s="76"/>
      <c r="T175" s="22" t="s">
        <v>54</v>
      </c>
      <c r="U175" s="200">
        <f>O175</f>
        <v>0.57</v>
      </c>
      <c r="V175" s="200">
        <f>ROUND(U175*$S$19,2)</f>
        <v>0.06</v>
      </c>
      <c r="W175" s="197">
        <f>ROUND(SUM(U175:V175)*$AA$19,2)</f>
        <v>0.21</v>
      </c>
      <c r="X175" s="197">
        <f>ROUND(SUM(U175:V175)*$AA$21,2)</f>
        <v>0</v>
      </c>
      <c r="Y175" s="197">
        <f>ROUND(SUM(U175:V175)*$AA$20,2)</f>
        <v>0.01</v>
      </c>
      <c r="Z175" s="201">
        <f>ROUND(U175*$S$20,2)</f>
        <v>0.63</v>
      </c>
      <c r="AA175" s="202">
        <f>SUM(U175:Z175)</f>
        <v>1.48</v>
      </c>
      <c r="AB175" s="203">
        <f>ROUND(AA175*$S$21,2)</f>
        <v>0.44</v>
      </c>
      <c r="AC175" s="204">
        <f>SUM(AA175:AB175)</f>
        <v>1.92</v>
      </c>
      <c r="AD175" s="205">
        <f>ROUND(AC175*$AD$19/95,2)</f>
        <v>0.1</v>
      </c>
      <c r="AE175" s="206">
        <f>SUM(AC175:AD175)</f>
        <v>2.02</v>
      </c>
      <c r="AF175" s="84"/>
      <c r="AG175" s="235" t="s">
        <v>346</v>
      </c>
      <c r="AH175" s="446" t="s">
        <v>347</v>
      </c>
      <c r="AI175" s="446"/>
      <c r="AJ175" s="78" t="s">
        <v>54</v>
      </c>
      <c r="AK175" s="78"/>
      <c r="AL175" s="207">
        <f t="shared" si="134"/>
        <v>2.02</v>
      </c>
      <c r="AM175" s="207"/>
      <c r="AN175" s="207">
        <f t="shared" si="135"/>
        <v>1</v>
      </c>
      <c r="AO175" s="19"/>
      <c r="AP175" s="84"/>
      <c r="AQ175" s="235" t="s">
        <v>346</v>
      </c>
      <c r="AR175" s="446" t="s">
        <v>347</v>
      </c>
      <c r="AS175" s="446"/>
      <c r="AT175" s="29">
        <v>5</v>
      </c>
      <c r="AU175" s="214">
        <f t="shared" si="122"/>
        <v>0.0565</v>
      </c>
      <c r="AV175" s="269">
        <f t="shared" si="123"/>
        <v>0.28</v>
      </c>
      <c r="AW175" s="269">
        <f t="shared" si="136"/>
        <v>0</v>
      </c>
      <c r="AX175" s="198">
        <f t="shared" si="124"/>
        <v>0.28</v>
      </c>
      <c r="AY175" s="307">
        <v>0</v>
      </c>
      <c r="AZ175" s="214">
        <f t="shared" si="125"/>
        <v>0.0445</v>
      </c>
      <c r="BA175" s="269">
        <f t="shared" si="126"/>
        <v>0</v>
      </c>
      <c r="BB175" s="269">
        <f t="shared" si="137"/>
        <v>0</v>
      </c>
      <c r="BC175" s="198">
        <f t="shared" si="127"/>
        <v>0</v>
      </c>
      <c r="BD175" s="199">
        <f t="shared" si="128"/>
        <v>0.28</v>
      </c>
      <c r="BE175" s="235" t="s">
        <v>346</v>
      </c>
      <c r="BF175" s="446" t="s">
        <v>347</v>
      </c>
      <c r="BG175" s="446"/>
      <c r="BH175" s="22" t="s">
        <v>54</v>
      </c>
      <c r="BI175" s="200">
        <f t="shared" si="153"/>
        <v>0.28</v>
      </c>
      <c r="BJ175" s="200">
        <f t="shared" si="139"/>
        <v>0.03</v>
      </c>
      <c r="BK175" s="197">
        <f t="shared" si="154"/>
        <v>0.11</v>
      </c>
      <c r="BL175" s="197">
        <f t="shared" si="155"/>
        <v>0</v>
      </c>
      <c r="BM175" s="197">
        <f t="shared" si="156"/>
        <v>0</v>
      </c>
      <c r="BN175" s="201">
        <f t="shared" si="157"/>
        <v>0.31</v>
      </c>
      <c r="BO175" s="202">
        <f t="shared" si="158"/>
        <v>0.73</v>
      </c>
      <c r="BP175" s="203">
        <f t="shared" si="145"/>
        <v>0.22</v>
      </c>
      <c r="BQ175" s="204">
        <f t="shared" si="159"/>
        <v>0.95</v>
      </c>
      <c r="BR175" s="205">
        <f t="shared" si="147"/>
        <v>0.05</v>
      </c>
      <c r="BS175" s="206">
        <f t="shared" si="160"/>
        <v>1</v>
      </c>
      <c r="BT175" s="84"/>
    </row>
    <row r="176" spans="1:72" ht="18.75" customHeight="1">
      <c r="A176" s="84"/>
      <c r="B176" s="235" t="s">
        <v>348</v>
      </c>
      <c r="C176" s="236" t="s">
        <v>349</v>
      </c>
      <c r="D176" s="78" t="s">
        <v>53</v>
      </c>
      <c r="E176" s="307">
        <v>8</v>
      </c>
      <c r="F176" s="214">
        <f>$G$15</f>
        <v>0.0565</v>
      </c>
      <c r="G176" s="197">
        <f>ROUND(E176*F176,2)</f>
        <v>0.45</v>
      </c>
      <c r="H176" s="197">
        <f>ROUND(G176*($A$16+$A$17)/100,2)</f>
        <v>0</v>
      </c>
      <c r="I176" s="198">
        <f>SUM(G176:H176)</f>
        <v>0.45</v>
      </c>
      <c r="J176" s="257">
        <v>7</v>
      </c>
      <c r="K176" s="214">
        <f>$G$18</f>
        <v>0.0445</v>
      </c>
      <c r="L176" s="197">
        <f>ROUND(J176*K176,2)</f>
        <v>0.31</v>
      </c>
      <c r="M176" s="197">
        <f>ROUND(L176*($A$16+$A$17)/100,2)</f>
        <v>0</v>
      </c>
      <c r="N176" s="198">
        <f>SUM(L176:M176)</f>
        <v>0.31</v>
      </c>
      <c r="O176" s="199">
        <f>SUM(I176,N176)</f>
        <v>0.76</v>
      </c>
      <c r="P176" s="235" t="s">
        <v>348</v>
      </c>
      <c r="Q176" s="446" t="s">
        <v>349</v>
      </c>
      <c r="R176" s="446"/>
      <c r="S176" s="76"/>
      <c r="T176" s="22" t="s">
        <v>54</v>
      </c>
      <c r="U176" s="200">
        <f>O176</f>
        <v>0.76</v>
      </c>
      <c r="V176" s="200">
        <f>ROUND(U176*$S$19,2)</f>
        <v>0.08</v>
      </c>
      <c r="W176" s="197">
        <f>ROUND(SUM(U176:V176)*$AA$19,2)</f>
        <v>0.29</v>
      </c>
      <c r="X176" s="197">
        <f>ROUND(SUM(U176:V176)*$AA$21,2)</f>
        <v>0</v>
      </c>
      <c r="Y176" s="197">
        <f>ROUND(SUM(U176:V176)*$AA$20,2)</f>
        <v>0.01</v>
      </c>
      <c r="Z176" s="201">
        <f>ROUND(U176*$S$20,2)</f>
        <v>0.83</v>
      </c>
      <c r="AA176" s="202">
        <f>SUM(U176:Z176)</f>
        <v>1.9699999999999998</v>
      </c>
      <c r="AB176" s="203">
        <f>ROUND(AA176*$S$21,2)</f>
        <v>0.59</v>
      </c>
      <c r="AC176" s="204">
        <f>SUM(AA176:AB176)</f>
        <v>2.5599999999999996</v>
      </c>
      <c r="AD176" s="205">
        <f>ROUND(AC176*$AD$19/95,2)</f>
        <v>0.13</v>
      </c>
      <c r="AE176" s="206">
        <f>SUM(AC176:AD176)</f>
        <v>2.6899999999999995</v>
      </c>
      <c r="AF176" s="84"/>
      <c r="AG176" s="235" t="s">
        <v>348</v>
      </c>
      <c r="AH176" s="446" t="s">
        <v>349</v>
      </c>
      <c r="AI176" s="446"/>
      <c r="AJ176" s="78" t="s">
        <v>54</v>
      </c>
      <c r="AK176" s="78"/>
      <c r="AL176" s="207">
        <f t="shared" si="134"/>
        <v>2.6899999999999995</v>
      </c>
      <c r="AM176" s="207"/>
      <c r="AN176" s="207">
        <f t="shared" si="135"/>
        <v>0.54</v>
      </c>
      <c r="AO176" s="19"/>
      <c r="AP176" s="84"/>
      <c r="AQ176" s="235" t="s">
        <v>348</v>
      </c>
      <c r="AR176" s="446" t="s">
        <v>349</v>
      </c>
      <c r="AS176" s="446"/>
      <c r="AT176" s="29">
        <v>2</v>
      </c>
      <c r="AU176" s="214">
        <f t="shared" si="122"/>
        <v>0.0565</v>
      </c>
      <c r="AV176" s="269">
        <f t="shared" si="123"/>
        <v>0.11</v>
      </c>
      <c r="AW176" s="269">
        <f t="shared" si="136"/>
        <v>0</v>
      </c>
      <c r="AX176" s="198">
        <f t="shared" si="124"/>
        <v>0.11</v>
      </c>
      <c r="AY176" s="307">
        <v>1</v>
      </c>
      <c r="AZ176" s="214">
        <f t="shared" si="125"/>
        <v>0.0445</v>
      </c>
      <c r="BA176" s="269">
        <f t="shared" si="126"/>
        <v>0.04</v>
      </c>
      <c r="BB176" s="269">
        <f t="shared" si="137"/>
        <v>0</v>
      </c>
      <c r="BC176" s="198">
        <f t="shared" si="127"/>
        <v>0.04</v>
      </c>
      <c r="BD176" s="199">
        <f t="shared" si="128"/>
        <v>0.15</v>
      </c>
      <c r="BE176" s="235" t="s">
        <v>348</v>
      </c>
      <c r="BF176" s="446" t="s">
        <v>349</v>
      </c>
      <c r="BG176" s="446"/>
      <c r="BH176" s="22" t="s">
        <v>54</v>
      </c>
      <c r="BI176" s="200">
        <f t="shared" si="153"/>
        <v>0.15</v>
      </c>
      <c r="BJ176" s="200">
        <f t="shared" si="139"/>
        <v>0.02</v>
      </c>
      <c r="BK176" s="197">
        <f t="shared" si="154"/>
        <v>0.06</v>
      </c>
      <c r="BL176" s="197">
        <f t="shared" si="155"/>
        <v>0</v>
      </c>
      <c r="BM176" s="197">
        <f t="shared" si="156"/>
        <v>0</v>
      </c>
      <c r="BN176" s="201">
        <f t="shared" si="157"/>
        <v>0.16</v>
      </c>
      <c r="BO176" s="202">
        <f t="shared" si="158"/>
        <v>0.39</v>
      </c>
      <c r="BP176" s="203">
        <f t="shared" si="145"/>
        <v>0.12</v>
      </c>
      <c r="BQ176" s="204">
        <f t="shared" si="159"/>
        <v>0.51</v>
      </c>
      <c r="BR176" s="205">
        <f t="shared" si="147"/>
        <v>0.03</v>
      </c>
      <c r="BS176" s="206">
        <f t="shared" si="160"/>
        <v>0.54</v>
      </c>
      <c r="BT176" s="84"/>
    </row>
    <row r="177" spans="1:72" ht="19.5" customHeight="1">
      <c r="A177" s="84"/>
      <c r="B177" s="235" t="s">
        <v>350</v>
      </c>
      <c r="C177" s="236" t="s">
        <v>351</v>
      </c>
      <c r="D177" s="78" t="s">
        <v>53</v>
      </c>
      <c r="E177" s="307">
        <v>3</v>
      </c>
      <c r="F177" s="214">
        <f>$G$15</f>
        <v>0.0565</v>
      </c>
      <c r="G177" s="197">
        <f>ROUND(E177*F177,2)</f>
        <v>0.17</v>
      </c>
      <c r="H177" s="197">
        <f>ROUND(G177*($A$16+$A$17)/100,2)</f>
        <v>0</v>
      </c>
      <c r="I177" s="198">
        <f>SUM(G177:H177)</f>
        <v>0.17</v>
      </c>
      <c r="J177" s="257">
        <v>2</v>
      </c>
      <c r="K177" s="214">
        <f>$G$18</f>
        <v>0.0445</v>
      </c>
      <c r="L177" s="197">
        <f>ROUND(J177*K177,2)</f>
        <v>0.09</v>
      </c>
      <c r="M177" s="197">
        <f>ROUND(L177*($A$16+$A$17)/100,2)</f>
        <v>0</v>
      </c>
      <c r="N177" s="198">
        <f>SUM(L177:M177)</f>
        <v>0.09</v>
      </c>
      <c r="O177" s="199">
        <f>SUM(I177,N177)</f>
        <v>0.26</v>
      </c>
      <c r="P177" s="235" t="s">
        <v>350</v>
      </c>
      <c r="Q177" s="446" t="s">
        <v>351</v>
      </c>
      <c r="R177" s="446"/>
      <c r="S177" s="76"/>
      <c r="T177" s="22" t="s">
        <v>54</v>
      </c>
      <c r="U177" s="200">
        <f>O177</f>
        <v>0.26</v>
      </c>
      <c r="V177" s="200">
        <f>ROUND(U177*$S$19,2)</f>
        <v>0.03</v>
      </c>
      <c r="W177" s="197">
        <f>ROUND(SUM(U177:V177)*$AA$19,2)</f>
        <v>0.1</v>
      </c>
      <c r="X177" s="197">
        <f>ROUND(SUM(U177:V177)*$AA$21,2)</f>
        <v>0</v>
      </c>
      <c r="Y177" s="197">
        <f>ROUND(SUM(U177:V177)*$AA$20,2)</f>
        <v>0</v>
      </c>
      <c r="Z177" s="201">
        <f>ROUND(U177*$S$20,2)</f>
        <v>0.29</v>
      </c>
      <c r="AA177" s="202">
        <f>SUM(U177:Z177)</f>
        <v>0.6799999999999999</v>
      </c>
      <c r="AB177" s="203">
        <f>ROUND(AA177*$S$21,2)</f>
        <v>0.2</v>
      </c>
      <c r="AC177" s="204">
        <f>SUM(AA177:AB177)</f>
        <v>0.8799999999999999</v>
      </c>
      <c r="AD177" s="205">
        <f>ROUND(AC177*$AD$19/95,2)</f>
        <v>0.05</v>
      </c>
      <c r="AE177" s="206">
        <f>SUM(AC177:AD177)</f>
        <v>0.9299999999999999</v>
      </c>
      <c r="AF177" s="84"/>
      <c r="AG177" s="235" t="s">
        <v>350</v>
      </c>
      <c r="AH177" s="446" t="s">
        <v>351</v>
      </c>
      <c r="AI177" s="446"/>
      <c r="AJ177" s="78" t="s">
        <v>54</v>
      </c>
      <c r="AK177" s="78"/>
      <c r="AL177" s="207">
        <f t="shared" si="134"/>
        <v>0.9299999999999999</v>
      </c>
      <c r="AM177" s="207"/>
      <c r="AN177" s="207">
        <f t="shared" si="135"/>
        <v>0.36000000000000004</v>
      </c>
      <c r="AO177" s="19"/>
      <c r="AP177" s="84"/>
      <c r="AQ177" s="235" t="s">
        <v>350</v>
      </c>
      <c r="AR177" s="446" t="s">
        <v>351</v>
      </c>
      <c r="AS177" s="446"/>
      <c r="AT177" s="29">
        <v>1</v>
      </c>
      <c r="AU177" s="214">
        <f t="shared" si="122"/>
        <v>0.0565</v>
      </c>
      <c r="AV177" s="269">
        <f t="shared" si="123"/>
        <v>0.06</v>
      </c>
      <c r="AW177" s="269">
        <f t="shared" si="136"/>
        <v>0</v>
      </c>
      <c r="AX177" s="198">
        <f t="shared" si="124"/>
        <v>0.06</v>
      </c>
      <c r="AY177" s="307">
        <v>1</v>
      </c>
      <c r="AZ177" s="214">
        <f t="shared" si="125"/>
        <v>0.0445</v>
      </c>
      <c r="BA177" s="269">
        <f t="shared" si="126"/>
        <v>0.04</v>
      </c>
      <c r="BB177" s="269">
        <f t="shared" si="137"/>
        <v>0</v>
      </c>
      <c r="BC177" s="198">
        <f t="shared" si="127"/>
        <v>0.04</v>
      </c>
      <c r="BD177" s="199">
        <f t="shared" si="128"/>
        <v>0.1</v>
      </c>
      <c r="BE177" s="235" t="s">
        <v>350</v>
      </c>
      <c r="BF177" s="446" t="s">
        <v>351</v>
      </c>
      <c r="BG177" s="446"/>
      <c r="BH177" s="22" t="s">
        <v>54</v>
      </c>
      <c r="BI177" s="200">
        <f t="shared" si="153"/>
        <v>0.1</v>
      </c>
      <c r="BJ177" s="200">
        <f t="shared" si="139"/>
        <v>0.01</v>
      </c>
      <c r="BK177" s="197">
        <f t="shared" si="154"/>
        <v>0.04</v>
      </c>
      <c r="BL177" s="197">
        <f t="shared" si="155"/>
        <v>0</v>
      </c>
      <c r="BM177" s="197">
        <f t="shared" si="156"/>
        <v>0</v>
      </c>
      <c r="BN177" s="201">
        <f t="shared" si="157"/>
        <v>0.11</v>
      </c>
      <c r="BO177" s="202">
        <f t="shared" si="158"/>
        <v>0.26</v>
      </c>
      <c r="BP177" s="203">
        <f t="shared" si="145"/>
        <v>0.08</v>
      </c>
      <c r="BQ177" s="204">
        <f t="shared" si="159"/>
        <v>0.34</v>
      </c>
      <c r="BR177" s="205">
        <f t="shared" si="147"/>
        <v>0.02</v>
      </c>
      <c r="BS177" s="206">
        <f t="shared" si="160"/>
        <v>0.36000000000000004</v>
      </c>
      <c r="BT177" s="84"/>
    </row>
    <row r="178" spans="1:72" ht="26.25" customHeight="1">
      <c r="A178" s="222"/>
      <c r="B178" s="233" t="s">
        <v>352</v>
      </c>
      <c r="C178" s="234" t="s">
        <v>353</v>
      </c>
      <c r="D178" s="251"/>
      <c r="E178" s="255"/>
      <c r="F178" s="256"/>
      <c r="G178" s="253"/>
      <c r="H178" s="253"/>
      <c r="I178" s="254"/>
      <c r="J178" s="255"/>
      <c r="K178" s="255"/>
      <c r="L178" s="253"/>
      <c r="M178" s="253"/>
      <c r="N178" s="254"/>
      <c r="O178" s="220"/>
      <c r="P178" s="233" t="s">
        <v>352</v>
      </c>
      <c r="Q178" s="442" t="s">
        <v>353</v>
      </c>
      <c r="R178" s="442"/>
      <c r="S178" s="267"/>
      <c r="T178" s="219"/>
      <c r="U178" s="253"/>
      <c r="V178" s="253"/>
      <c r="W178" s="253"/>
      <c r="X178" s="253"/>
      <c r="Y178" s="253"/>
      <c r="Z178" s="253"/>
      <c r="AA178" s="253"/>
      <c r="AB178" s="253"/>
      <c r="AC178" s="253"/>
      <c r="AD178" s="253"/>
      <c r="AE178" s="220"/>
      <c r="AF178" s="222"/>
      <c r="AG178" s="233" t="s">
        <v>352</v>
      </c>
      <c r="AH178" s="442" t="s">
        <v>353</v>
      </c>
      <c r="AI178" s="442"/>
      <c r="AJ178" s="251"/>
      <c r="AK178" s="251"/>
      <c r="AL178" s="220"/>
      <c r="AM178" s="220"/>
      <c r="AN178" s="220"/>
      <c r="AO178" s="268"/>
      <c r="AP178" s="218"/>
      <c r="AQ178" s="233" t="s">
        <v>352</v>
      </c>
      <c r="AR178" s="442" t="s">
        <v>353</v>
      </c>
      <c r="AS178" s="442"/>
      <c r="AT178" s="252"/>
      <c r="AU178" s="256"/>
      <c r="AV178" s="254"/>
      <c r="AW178" s="254"/>
      <c r="AX178" s="254"/>
      <c r="AY178" s="255"/>
      <c r="AZ178" s="256"/>
      <c r="BA178" s="254"/>
      <c r="BB178" s="254"/>
      <c r="BC178" s="254"/>
      <c r="BD178" s="220"/>
      <c r="BE178" s="233" t="s">
        <v>352</v>
      </c>
      <c r="BF178" s="442" t="s">
        <v>353</v>
      </c>
      <c r="BG178" s="442"/>
      <c r="BH178" s="219"/>
      <c r="BI178" s="253"/>
      <c r="BJ178" s="253"/>
      <c r="BK178" s="253"/>
      <c r="BL178" s="253"/>
      <c r="BM178" s="253"/>
      <c r="BN178" s="253"/>
      <c r="BO178" s="253"/>
      <c r="BP178" s="253"/>
      <c r="BQ178" s="253"/>
      <c r="BR178" s="253"/>
      <c r="BS178" s="220"/>
      <c r="BT178" s="84"/>
    </row>
    <row r="179" spans="1:72" ht="21" customHeight="1">
      <c r="A179" s="84"/>
      <c r="B179" s="233" t="s">
        <v>354</v>
      </c>
      <c r="C179" s="234" t="s">
        <v>355</v>
      </c>
      <c r="D179" s="251"/>
      <c r="E179" s="255"/>
      <c r="F179" s="256"/>
      <c r="G179" s="253"/>
      <c r="H179" s="253"/>
      <c r="I179" s="254"/>
      <c r="J179" s="255"/>
      <c r="K179" s="255"/>
      <c r="L179" s="253"/>
      <c r="M179" s="253"/>
      <c r="N179" s="254"/>
      <c r="O179" s="220"/>
      <c r="P179" s="233" t="s">
        <v>354</v>
      </c>
      <c r="Q179" s="442" t="s">
        <v>355</v>
      </c>
      <c r="R179" s="442"/>
      <c r="S179" s="267"/>
      <c r="T179" s="219"/>
      <c r="U179" s="253"/>
      <c r="V179" s="253"/>
      <c r="W179" s="253"/>
      <c r="X179" s="253"/>
      <c r="Y179" s="253"/>
      <c r="Z179" s="253"/>
      <c r="AA179" s="253"/>
      <c r="AB179" s="253"/>
      <c r="AC179" s="253"/>
      <c r="AD179" s="253"/>
      <c r="AE179" s="220"/>
      <c r="AF179" s="84"/>
      <c r="AG179" s="233" t="s">
        <v>354</v>
      </c>
      <c r="AH179" s="442" t="s">
        <v>355</v>
      </c>
      <c r="AI179" s="442"/>
      <c r="AJ179" s="251"/>
      <c r="AK179" s="251"/>
      <c r="AL179" s="220"/>
      <c r="AM179" s="220"/>
      <c r="AN179" s="220"/>
      <c r="AO179" s="268"/>
      <c r="AP179" s="218"/>
      <c r="AQ179" s="233" t="s">
        <v>354</v>
      </c>
      <c r="AR179" s="442" t="s">
        <v>355</v>
      </c>
      <c r="AS179" s="442"/>
      <c r="AT179" s="252"/>
      <c r="AU179" s="256"/>
      <c r="AV179" s="254"/>
      <c r="AW179" s="254"/>
      <c r="AX179" s="254"/>
      <c r="AY179" s="255"/>
      <c r="AZ179" s="256"/>
      <c r="BA179" s="254"/>
      <c r="BB179" s="254"/>
      <c r="BC179" s="254"/>
      <c r="BD179" s="220"/>
      <c r="BE179" s="233" t="s">
        <v>354</v>
      </c>
      <c r="BF179" s="442" t="s">
        <v>355</v>
      </c>
      <c r="BG179" s="442"/>
      <c r="BH179" s="219"/>
      <c r="BI179" s="253"/>
      <c r="BJ179" s="253"/>
      <c r="BK179" s="253"/>
      <c r="BL179" s="253"/>
      <c r="BM179" s="253"/>
      <c r="BN179" s="253"/>
      <c r="BO179" s="253"/>
      <c r="BP179" s="253"/>
      <c r="BQ179" s="253"/>
      <c r="BR179" s="253"/>
      <c r="BS179" s="220"/>
      <c r="BT179" s="84"/>
    </row>
    <row r="180" spans="1:72" ht="16.5" customHeight="1">
      <c r="A180" s="84"/>
      <c r="B180" s="233" t="s">
        <v>0</v>
      </c>
      <c r="C180" s="234" t="s">
        <v>356</v>
      </c>
      <c r="D180" s="251"/>
      <c r="E180" s="255"/>
      <c r="F180" s="256"/>
      <c r="G180" s="253"/>
      <c r="H180" s="253"/>
      <c r="I180" s="254"/>
      <c r="J180" s="255"/>
      <c r="K180" s="255"/>
      <c r="L180" s="253"/>
      <c r="M180" s="253"/>
      <c r="N180" s="254"/>
      <c r="O180" s="220"/>
      <c r="P180" s="233" t="s">
        <v>0</v>
      </c>
      <c r="Q180" s="442" t="s">
        <v>356</v>
      </c>
      <c r="R180" s="442"/>
      <c r="S180" s="267"/>
      <c r="T180" s="219"/>
      <c r="U180" s="253"/>
      <c r="V180" s="253"/>
      <c r="W180" s="253"/>
      <c r="X180" s="253"/>
      <c r="Y180" s="253"/>
      <c r="Z180" s="253"/>
      <c r="AA180" s="253"/>
      <c r="AB180" s="253"/>
      <c r="AC180" s="253"/>
      <c r="AD180" s="253"/>
      <c r="AE180" s="220"/>
      <c r="AF180" s="84"/>
      <c r="AG180" s="233" t="s">
        <v>0</v>
      </c>
      <c r="AH180" s="442" t="s">
        <v>356</v>
      </c>
      <c r="AI180" s="442"/>
      <c r="AJ180" s="251"/>
      <c r="AK180" s="251"/>
      <c r="AL180" s="220"/>
      <c r="AM180" s="220"/>
      <c r="AN180" s="220"/>
      <c r="AO180" s="268"/>
      <c r="AP180" s="218"/>
      <c r="AQ180" s="233" t="s">
        <v>0</v>
      </c>
      <c r="AR180" s="442" t="s">
        <v>356</v>
      </c>
      <c r="AS180" s="442"/>
      <c r="AT180" s="252"/>
      <c r="AU180" s="256"/>
      <c r="AV180" s="254"/>
      <c r="AW180" s="254"/>
      <c r="AX180" s="254"/>
      <c r="AY180" s="255"/>
      <c r="AZ180" s="256"/>
      <c r="BA180" s="254"/>
      <c r="BB180" s="254"/>
      <c r="BC180" s="254"/>
      <c r="BD180" s="220"/>
      <c r="BE180" s="233" t="s">
        <v>0</v>
      </c>
      <c r="BF180" s="442" t="s">
        <v>356</v>
      </c>
      <c r="BG180" s="442"/>
      <c r="BH180" s="219"/>
      <c r="BI180" s="253"/>
      <c r="BJ180" s="253"/>
      <c r="BK180" s="253"/>
      <c r="BL180" s="253"/>
      <c r="BM180" s="253"/>
      <c r="BN180" s="253"/>
      <c r="BO180" s="253"/>
      <c r="BP180" s="253"/>
      <c r="BQ180" s="253"/>
      <c r="BR180" s="253"/>
      <c r="BS180" s="220"/>
      <c r="BT180" s="84"/>
    </row>
    <row r="181" spans="1:72" ht="20.25" customHeight="1">
      <c r="A181" s="84"/>
      <c r="B181" s="233" t="s">
        <v>357</v>
      </c>
      <c r="C181" s="234" t="s">
        <v>358</v>
      </c>
      <c r="D181" s="251"/>
      <c r="E181" s="255"/>
      <c r="F181" s="256"/>
      <c r="G181" s="253"/>
      <c r="H181" s="253"/>
      <c r="I181" s="254"/>
      <c r="J181" s="255"/>
      <c r="K181" s="255"/>
      <c r="L181" s="253"/>
      <c r="M181" s="253"/>
      <c r="N181" s="254"/>
      <c r="O181" s="220"/>
      <c r="P181" s="233" t="s">
        <v>357</v>
      </c>
      <c r="Q181" s="442" t="s">
        <v>358</v>
      </c>
      <c r="R181" s="442"/>
      <c r="S181" s="267"/>
      <c r="T181" s="219"/>
      <c r="U181" s="253"/>
      <c r="V181" s="253"/>
      <c r="W181" s="253"/>
      <c r="X181" s="253"/>
      <c r="Y181" s="253"/>
      <c r="Z181" s="253"/>
      <c r="AA181" s="253"/>
      <c r="AB181" s="253"/>
      <c r="AC181" s="253"/>
      <c r="AD181" s="253"/>
      <c r="AE181" s="220"/>
      <c r="AF181" s="84"/>
      <c r="AG181" s="233" t="s">
        <v>357</v>
      </c>
      <c r="AH181" s="442" t="s">
        <v>358</v>
      </c>
      <c r="AI181" s="442"/>
      <c r="AJ181" s="251"/>
      <c r="AK181" s="251"/>
      <c r="AL181" s="220"/>
      <c r="AM181" s="220"/>
      <c r="AN181" s="220"/>
      <c r="AO181" s="268"/>
      <c r="AP181" s="218"/>
      <c r="AQ181" s="233" t="s">
        <v>357</v>
      </c>
      <c r="AR181" s="442" t="s">
        <v>358</v>
      </c>
      <c r="AS181" s="442"/>
      <c r="AT181" s="252"/>
      <c r="AU181" s="256"/>
      <c r="AV181" s="254"/>
      <c r="AW181" s="254"/>
      <c r="AX181" s="254"/>
      <c r="AY181" s="255"/>
      <c r="AZ181" s="256"/>
      <c r="BA181" s="254"/>
      <c r="BB181" s="254"/>
      <c r="BC181" s="254"/>
      <c r="BD181" s="220"/>
      <c r="BE181" s="233" t="s">
        <v>357</v>
      </c>
      <c r="BF181" s="442" t="s">
        <v>358</v>
      </c>
      <c r="BG181" s="442"/>
      <c r="BH181" s="219"/>
      <c r="BI181" s="253"/>
      <c r="BJ181" s="253"/>
      <c r="BK181" s="253"/>
      <c r="BL181" s="253"/>
      <c r="BM181" s="253"/>
      <c r="BN181" s="253"/>
      <c r="BO181" s="253"/>
      <c r="BP181" s="253"/>
      <c r="BQ181" s="253"/>
      <c r="BR181" s="253"/>
      <c r="BS181" s="220"/>
      <c r="BT181" s="84"/>
    </row>
    <row r="182" spans="1:72" ht="21.75" customHeight="1">
      <c r="A182" s="222"/>
      <c r="B182" s="235" t="s">
        <v>359</v>
      </c>
      <c r="C182" s="236" t="s">
        <v>360</v>
      </c>
      <c r="D182" s="78" t="s">
        <v>53</v>
      </c>
      <c r="E182" s="190">
        <v>10</v>
      </c>
      <c r="F182" s="214">
        <f>$G$15</f>
        <v>0.0565</v>
      </c>
      <c r="G182" s="197">
        <f>ROUND(E182*F182,2)</f>
        <v>0.57</v>
      </c>
      <c r="H182" s="197">
        <f>ROUND(G182*($A$16+$A$17)/100,2)</f>
        <v>0</v>
      </c>
      <c r="I182" s="198">
        <f>SUM(G182:H182)</f>
        <v>0.57</v>
      </c>
      <c r="J182" s="257">
        <v>30</v>
      </c>
      <c r="K182" s="214">
        <f>$G$18</f>
        <v>0.0445</v>
      </c>
      <c r="L182" s="197">
        <f>ROUND(J182*K182,2)</f>
        <v>1.34</v>
      </c>
      <c r="M182" s="197">
        <f>ROUND(L182*($A$16+$A$17)/100,2)</f>
        <v>0</v>
      </c>
      <c r="N182" s="198">
        <f>SUM(L182:M182)</f>
        <v>1.34</v>
      </c>
      <c r="O182" s="199">
        <f>SUM(I182,N182)</f>
        <v>1.9100000000000001</v>
      </c>
      <c r="P182" s="235" t="s">
        <v>359</v>
      </c>
      <c r="Q182" s="446" t="s">
        <v>360</v>
      </c>
      <c r="R182" s="446"/>
      <c r="S182" s="224"/>
      <c r="T182" s="225" t="s">
        <v>54</v>
      </c>
      <c r="U182" s="200">
        <f>O182</f>
        <v>1.9100000000000001</v>
      </c>
      <c r="V182" s="200">
        <f>ROUND(U182*$S$19,2)</f>
        <v>0.2</v>
      </c>
      <c r="W182" s="197">
        <f>ROUND(SUM(U182:V182)*$AA$19,2)</f>
        <v>0.72</v>
      </c>
      <c r="X182" s="197">
        <f>ROUND(SUM(U182:V182)*$AA$21,2)</f>
        <v>0</v>
      </c>
      <c r="Y182" s="197">
        <f>ROUND(SUM(U182:V182)*$AA$20,2)</f>
        <v>0.03</v>
      </c>
      <c r="Z182" s="201">
        <f>ROUND(U182*$S$20,2)</f>
        <v>2.1</v>
      </c>
      <c r="AA182" s="202">
        <f>SUM(U182:Z182)</f>
        <v>4.96</v>
      </c>
      <c r="AB182" s="203">
        <f>ROUND(AA182*$S$21,2)</f>
        <v>1.49</v>
      </c>
      <c r="AC182" s="204">
        <f>SUM(AA182:AB182)</f>
        <v>6.45</v>
      </c>
      <c r="AD182" s="205">
        <f>ROUND(AC182*$AD$19/95,2)</f>
        <v>0.34</v>
      </c>
      <c r="AE182" s="206">
        <f>SUM(AC182:AD182)</f>
        <v>6.79</v>
      </c>
      <c r="AF182" s="222"/>
      <c r="AG182" s="235" t="s">
        <v>359</v>
      </c>
      <c r="AH182" s="446" t="s">
        <v>360</v>
      </c>
      <c r="AI182" s="446"/>
      <c r="AJ182" s="223" t="s">
        <v>54</v>
      </c>
      <c r="AK182" s="223"/>
      <c r="AL182" s="207">
        <f t="shared" si="134"/>
        <v>6.79</v>
      </c>
      <c r="AM182" s="207"/>
      <c r="AN182" s="207">
        <f t="shared" si="135"/>
        <v>3.38</v>
      </c>
      <c r="AO182" s="268"/>
      <c r="AP182" s="218"/>
      <c r="AQ182" s="235" t="s">
        <v>359</v>
      </c>
      <c r="AR182" s="446" t="s">
        <v>360</v>
      </c>
      <c r="AS182" s="446"/>
      <c r="AT182" s="252">
        <v>5</v>
      </c>
      <c r="AU182" s="214">
        <f t="shared" si="122"/>
        <v>0.0565</v>
      </c>
      <c r="AV182" s="269">
        <f t="shared" si="123"/>
        <v>0.28</v>
      </c>
      <c r="AW182" s="269">
        <f t="shared" si="136"/>
        <v>0</v>
      </c>
      <c r="AX182" s="198">
        <f t="shared" si="124"/>
        <v>0.28</v>
      </c>
      <c r="AY182" s="190">
        <v>15</v>
      </c>
      <c r="AZ182" s="214">
        <f t="shared" si="125"/>
        <v>0.0445</v>
      </c>
      <c r="BA182" s="269">
        <f t="shared" si="126"/>
        <v>0.67</v>
      </c>
      <c r="BB182" s="269">
        <f t="shared" si="137"/>
        <v>0</v>
      </c>
      <c r="BC182" s="198">
        <f t="shared" si="127"/>
        <v>0.67</v>
      </c>
      <c r="BD182" s="199">
        <f t="shared" si="128"/>
        <v>0.9500000000000001</v>
      </c>
      <c r="BE182" s="235" t="s">
        <v>359</v>
      </c>
      <c r="BF182" s="446" t="s">
        <v>360</v>
      </c>
      <c r="BG182" s="446"/>
      <c r="BH182" s="225" t="s">
        <v>54</v>
      </c>
      <c r="BI182" s="200">
        <f t="shared" si="153"/>
        <v>0.9500000000000001</v>
      </c>
      <c r="BJ182" s="200">
        <f t="shared" si="139"/>
        <v>0.1</v>
      </c>
      <c r="BK182" s="197">
        <f t="shared" si="154"/>
        <v>0.36</v>
      </c>
      <c r="BL182" s="197">
        <f t="shared" si="155"/>
        <v>0</v>
      </c>
      <c r="BM182" s="197">
        <f t="shared" si="156"/>
        <v>0.02</v>
      </c>
      <c r="BN182" s="201">
        <f t="shared" si="157"/>
        <v>1.04</v>
      </c>
      <c r="BO182" s="202">
        <f t="shared" si="158"/>
        <v>2.47</v>
      </c>
      <c r="BP182" s="203">
        <f t="shared" si="145"/>
        <v>0.74</v>
      </c>
      <c r="BQ182" s="204">
        <f t="shared" si="159"/>
        <v>3.21</v>
      </c>
      <c r="BR182" s="205">
        <f t="shared" si="147"/>
        <v>0.17</v>
      </c>
      <c r="BS182" s="206">
        <f t="shared" si="160"/>
        <v>3.38</v>
      </c>
      <c r="BT182" s="84"/>
    </row>
    <row r="183" spans="1:72" ht="13.5" customHeight="1">
      <c r="A183" s="84"/>
      <c r="B183" s="233" t="s">
        <v>936</v>
      </c>
      <c r="C183" s="362" t="s">
        <v>937</v>
      </c>
      <c r="D183" s="251"/>
      <c r="E183" s="255"/>
      <c r="F183" s="256"/>
      <c r="G183" s="253"/>
      <c r="H183" s="253"/>
      <c r="I183" s="254"/>
      <c r="J183" s="255"/>
      <c r="K183" s="255"/>
      <c r="L183" s="253"/>
      <c r="M183" s="253"/>
      <c r="N183" s="254"/>
      <c r="O183" s="220"/>
      <c r="P183" s="233" t="s">
        <v>936</v>
      </c>
      <c r="Q183" s="442" t="s">
        <v>937</v>
      </c>
      <c r="R183" s="442"/>
      <c r="S183" s="267"/>
      <c r="T183" s="219"/>
      <c r="U183" s="253"/>
      <c r="V183" s="253"/>
      <c r="W183" s="253"/>
      <c r="X183" s="253"/>
      <c r="Y183" s="253"/>
      <c r="Z183" s="253"/>
      <c r="AA183" s="253"/>
      <c r="AB183" s="253"/>
      <c r="AC183" s="253"/>
      <c r="AD183" s="253"/>
      <c r="AE183" s="220"/>
      <c r="AF183" s="84"/>
      <c r="AG183" s="233" t="s">
        <v>936</v>
      </c>
      <c r="AH183" s="442" t="s">
        <v>937</v>
      </c>
      <c r="AI183" s="442"/>
      <c r="AJ183" s="251"/>
      <c r="AK183" s="251"/>
      <c r="AL183" s="220"/>
      <c r="AM183" s="220"/>
      <c r="AN183" s="220"/>
      <c r="AO183" s="268"/>
      <c r="AP183" s="218"/>
      <c r="AQ183" s="233" t="s">
        <v>936</v>
      </c>
      <c r="AR183" s="442" t="s">
        <v>937</v>
      </c>
      <c r="AS183" s="442"/>
      <c r="AT183" s="252"/>
      <c r="AU183" s="256"/>
      <c r="AV183" s="254"/>
      <c r="AW183" s="254"/>
      <c r="AX183" s="254"/>
      <c r="AY183" s="255"/>
      <c r="AZ183" s="256"/>
      <c r="BA183" s="254"/>
      <c r="BB183" s="254"/>
      <c r="BC183" s="254"/>
      <c r="BD183" s="220"/>
      <c r="BE183" s="233" t="s">
        <v>936</v>
      </c>
      <c r="BF183" s="442" t="s">
        <v>937</v>
      </c>
      <c r="BG183" s="442"/>
      <c r="BH183" s="219"/>
      <c r="BI183" s="253"/>
      <c r="BJ183" s="253"/>
      <c r="BK183" s="253"/>
      <c r="BL183" s="253"/>
      <c r="BM183" s="253"/>
      <c r="BN183" s="253"/>
      <c r="BO183" s="253"/>
      <c r="BP183" s="253"/>
      <c r="BQ183" s="253"/>
      <c r="BR183" s="253"/>
      <c r="BS183" s="220"/>
      <c r="BT183" s="84"/>
    </row>
    <row r="184" spans="1:72" ht="14.25" customHeight="1">
      <c r="A184" s="222"/>
      <c r="B184" s="315" t="s">
        <v>938</v>
      </c>
      <c r="C184" s="282" t="s">
        <v>939</v>
      </c>
      <c r="D184" s="78" t="s">
        <v>53</v>
      </c>
      <c r="E184" s="190">
        <v>10</v>
      </c>
      <c r="F184" s="214">
        <f>$G$15</f>
        <v>0.0565</v>
      </c>
      <c r="G184" s="197">
        <f>ROUND(E184*F184,2)</f>
        <v>0.57</v>
      </c>
      <c r="H184" s="197">
        <f>ROUND(G184*($A$16+$A$17)/100,2)</f>
        <v>0</v>
      </c>
      <c r="I184" s="198">
        <f>SUM(G184:H184)</f>
        <v>0.57</v>
      </c>
      <c r="J184" s="257">
        <v>20</v>
      </c>
      <c r="K184" s="214">
        <f>$G$18</f>
        <v>0.0445</v>
      </c>
      <c r="L184" s="197">
        <f>ROUND(J184*K184,2)</f>
        <v>0.89</v>
      </c>
      <c r="M184" s="197">
        <f>ROUND(L184*($A$16+$A$17)/100,2)</f>
        <v>0</v>
      </c>
      <c r="N184" s="198">
        <f>SUM(L184:M184)</f>
        <v>0.89</v>
      </c>
      <c r="O184" s="199">
        <f>SUM(I184,N184)</f>
        <v>1.46</v>
      </c>
      <c r="P184" s="315" t="s">
        <v>938</v>
      </c>
      <c r="Q184" s="282" t="s">
        <v>939</v>
      </c>
      <c r="R184" s="310"/>
      <c r="S184" s="224"/>
      <c r="T184" s="225" t="s">
        <v>54</v>
      </c>
      <c r="U184" s="200">
        <f>O184</f>
        <v>1.46</v>
      </c>
      <c r="V184" s="200">
        <f>ROUND(U184*$S$19,2)</f>
        <v>0.15</v>
      </c>
      <c r="W184" s="197">
        <f>ROUND(SUM(U184:V184)*$AA$19,2)</f>
        <v>0.55</v>
      </c>
      <c r="X184" s="197">
        <f>ROUND(SUM(U184:V184)*$AA$21,2)</f>
        <v>0</v>
      </c>
      <c r="Y184" s="197">
        <f>ROUND(SUM(U184:V184)*$AA$20,2)</f>
        <v>0.02</v>
      </c>
      <c r="Z184" s="201">
        <f>ROUND(U184*$S$20,2)</f>
        <v>1.6</v>
      </c>
      <c r="AA184" s="202">
        <f>SUM(U184:Z184)</f>
        <v>3.7800000000000002</v>
      </c>
      <c r="AB184" s="203">
        <f>ROUND(AA184*$S$21,2)</f>
        <v>1.13</v>
      </c>
      <c r="AC184" s="204">
        <f>SUM(AA184:AB184)</f>
        <v>4.91</v>
      </c>
      <c r="AD184" s="205">
        <f>ROUND(AC184*$AD$19/95,2)</f>
        <v>0.26</v>
      </c>
      <c r="AE184" s="206">
        <f>SUM(AC184:AD184)</f>
        <v>5.17</v>
      </c>
      <c r="AF184" s="222"/>
      <c r="AG184" s="315" t="s">
        <v>938</v>
      </c>
      <c r="AH184" s="282" t="s">
        <v>939</v>
      </c>
      <c r="AI184" s="310"/>
      <c r="AJ184" s="223" t="s">
        <v>54</v>
      </c>
      <c r="AK184" s="223"/>
      <c r="AL184" s="207">
        <f>AE184</f>
        <v>5.17</v>
      </c>
      <c r="AM184" s="207"/>
      <c r="AN184" s="207">
        <f>BS184</f>
        <v>2.5999999999999996</v>
      </c>
      <c r="AO184" s="268"/>
      <c r="AP184" s="218"/>
      <c r="AQ184" s="315" t="s">
        <v>938</v>
      </c>
      <c r="AR184" s="282" t="s">
        <v>939</v>
      </c>
      <c r="AS184" s="310"/>
      <c r="AT184" s="252">
        <v>5</v>
      </c>
      <c r="AU184" s="214">
        <f t="shared" si="122"/>
        <v>0.0565</v>
      </c>
      <c r="AV184" s="269">
        <f>ROUND(AT184*AU184,2)</f>
        <v>0.28</v>
      </c>
      <c r="AW184" s="269">
        <f>ROUND(AV184*($A$16+$A$17)/100,2)</f>
        <v>0</v>
      </c>
      <c r="AX184" s="198">
        <f>SUM(AV184:AW184)</f>
        <v>0.28</v>
      </c>
      <c r="AY184" s="190">
        <v>10</v>
      </c>
      <c r="AZ184" s="214">
        <f t="shared" si="125"/>
        <v>0.0445</v>
      </c>
      <c r="BA184" s="269">
        <f>ROUND(AY184*AZ184,2)</f>
        <v>0.45</v>
      </c>
      <c r="BB184" s="269">
        <f>ROUND(BA184*($A$16+$A$17)/100,2)</f>
        <v>0</v>
      </c>
      <c r="BC184" s="198">
        <f>SUM(BA184:BB184)</f>
        <v>0.45</v>
      </c>
      <c r="BD184" s="199">
        <f>SUM(AX184,BC184)</f>
        <v>0.73</v>
      </c>
      <c r="BE184" s="315" t="s">
        <v>938</v>
      </c>
      <c r="BF184" s="282" t="s">
        <v>939</v>
      </c>
      <c r="BG184" s="310"/>
      <c r="BH184" s="225" t="s">
        <v>54</v>
      </c>
      <c r="BI184" s="200">
        <f>BD184</f>
        <v>0.73</v>
      </c>
      <c r="BJ184" s="200">
        <f>ROUND(BI184*$S$19,2)</f>
        <v>0.08</v>
      </c>
      <c r="BK184" s="197">
        <f>ROUND(SUM(BI184:BJ184)*$AA$19,2)</f>
        <v>0.28</v>
      </c>
      <c r="BL184" s="197">
        <f>ROUND(SUM(BI184:BJ184)*$AA$21,2)</f>
        <v>0</v>
      </c>
      <c r="BM184" s="197">
        <f>ROUND(SUM(BI184:BJ184)*$AA$20,2)</f>
        <v>0.01</v>
      </c>
      <c r="BN184" s="201">
        <f>ROUND(BI184*$S$20,2)</f>
        <v>0.8</v>
      </c>
      <c r="BO184" s="202">
        <f>SUM(BI184:BN184)</f>
        <v>1.9</v>
      </c>
      <c r="BP184" s="203">
        <f>ROUND(BO184*$S$21,2)</f>
        <v>0.57</v>
      </c>
      <c r="BQ184" s="204">
        <f>SUM(BO184:BP184)</f>
        <v>2.4699999999999998</v>
      </c>
      <c r="BR184" s="205">
        <f>ROUND(BQ184*$AD$19/95,2)</f>
        <v>0.13</v>
      </c>
      <c r="BS184" s="206">
        <f>SUM(BQ184:BR184)</f>
        <v>2.5999999999999996</v>
      </c>
      <c r="BT184" s="84"/>
    </row>
    <row r="185" spans="1:72" ht="13.5" customHeight="1">
      <c r="A185" s="84"/>
      <c r="B185" s="233" t="s">
        <v>944</v>
      </c>
      <c r="C185" s="362" t="s">
        <v>945</v>
      </c>
      <c r="D185" s="251"/>
      <c r="E185" s="255"/>
      <c r="F185" s="256"/>
      <c r="G185" s="253"/>
      <c r="H185" s="253"/>
      <c r="I185" s="254"/>
      <c r="J185" s="255"/>
      <c r="K185" s="255"/>
      <c r="L185" s="253"/>
      <c r="M185" s="253"/>
      <c r="N185" s="254"/>
      <c r="O185" s="220"/>
      <c r="P185" s="233" t="s">
        <v>936</v>
      </c>
      <c r="Q185" s="442" t="s">
        <v>937</v>
      </c>
      <c r="R185" s="442"/>
      <c r="S185" s="267"/>
      <c r="T185" s="219"/>
      <c r="U185" s="253"/>
      <c r="V185" s="253"/>
      <c r="W185" s="253"/>
      <c r="X185" s="253"/>
      <c r="Y185" s="253"/>
      <c r="Z185" s="253"/>
      <c r="AA185" s="253"/>
      <c r="AB185" s="253"/>
      <c r="AC185" s="253"/>
      <c r="AD185" s="253"/>
      <c r="AE185" s="220"/>
      <c r="AF185" s="84"/>
      <c r="AG185" s="233" t="s">
        <v>936</v>
      </c>
      <c r="AH185" s="442" t="s">
        <v>937</v>
      </c>
      <c r="AI185" s="442"/>
      <c r="AJ185" s="251"/>
      <c r="AK185" s="251"/>
      <c r="AL185" s="220"/>
      <c r="AM185" s="220"/>
      <c r="AN185" s="220"/>
      <c r="AO185" s="268"/>
      <c r="AP185" s="218"/>
      <c r="AQ185" s="233" t="s">
        <v>936</v>
      </c>
      <c r="AR185" s="442" t="s">
        <v>937</v>
      </c>
      <c r="AS185" s="442"/>
      <c r="AT185" s="252"/>
      <c r="AU185" s="256"/>
      <c r="AV185" s="254"/>
      <c r="AW185" s="254"/>
      <c r="AX185" s="254"/>
      <c r="AY185" s="255"/>
      <c r="AZ185" s="256"/>
      <c r="BA185" s="254"/>
      <c r="BB185" s="254"/>
      <c r="BC185" s="254"/>
      <c r="BD185" s="220"/>
      <c r="BE185" s="233" t="s">
        <v>936</v>
      </c>
      <c r="BF185" s="442" t="s">
        <v>937</v>
      </c>
      <c r="BG185" s="442"/>
      <c r="BH185" s="219"/>
      <c r="BI185" s="253"/>
      <c r="BJ185" s="253"/>
      <c r="BK185" s="253"/>
      <c r="BL185" s="253"/>
      <c r="BM185" s="253"/>
      <c r="BN185" s="253"/>
      <c r="BO185" s="253"/>
      <c r="BP185" s="253"/>
      <c r="BQ185" s="253"/>
      <c r="BR185" s="253"/>
      <c r="BS185" s="220"/>
      <c r="BT185" s="84"/>
    </row>
    <row r="186" spans="1:72" ht="26.25" customHeight="1">
      <c r="A186" s="222"/>
      <c r="B186" s="235" t="s">
        <v>941</v>
      </c>
      <c r="C186" s="363" t="s">
        <v>942</v>
      </c>
      <c r="D186" s="78" t="s">
        <v>53</v>
      </c>
      <c r="E186" s="190">
        <v>40</v>
      </c>
      <c r="F186" s="214">
        <f>$G$15</f>
        <v>0.0565</v>
      </c>
      <c r="G186" s="197">
        <f>ROUND(E186*F186,2)</f>
        <v>2.26</v>
      </c>
      <c r="H186" s="197">
        <f>ROUND(G186*($A$16+$A$17)/100,2)</f>
        <v>0</v>
      </c>
      <c r="I186" s="198">
        <f>SUM(G186:H186)</f>
        <v>2.26</v>
      </c>
      <c r="J186" s="257">
        <v>30</v>
      </c>
      <c r="K186" s="214">
        <f>$G$18</f>
        <v>0.0445</v>
      </c>
      <c r="L186" s="197">
        <f>ROUND(J186*K186,2)</f>
        <v>1.34</v>
      </c>
      <c r="M186" s="197">
        <f>ROUND(L186*($A$16+$A$17)/100,2)</f>
        <v>0</v>
      </c>
      <c r="N186" s="198">
        <f>SUM(L186:M186)</f>
        <v>1.34</v>
      </c>
      <c r="O186" s="199">
        <f>SUM(I186,N186)</f>
        <v>3.5999999999999996</v>
      </c>
      <c r="P186" s="235" t="s">
        <v>941</v>
      </c>
      <c r="Q186" s="446" t="s">
        <v>942</v>
      </c>
      <c r="R186" s="446"/>
      <c r="S186" s="224"/>
      <c r="T186" s="225" t="s">
        <v>54</v>
      </c>
      <c r="U186" s="200">
        <f>O186</f>
        <v>3.5999999999999996</v>
      </c>
      <c r="V186" s="200">
        <f>ROUND(U186*$S$19,2)</f>
        <v>0.37</v>
      </c>
      <c r="W186" s="197">
        <f>ROUND(SUM(U186:V186)*$AA$19,2)</f>
        <v>1.35</v>
      </c>
      <c r="X186" s="197">
        <f>ROUND(SUM(U186:V186)*$AA$21,2)</f>
        <v>0</v>
      </c>
      <c r="Y186" s="197">
        <f>ROUND(SUM(U186:V186)*$AA$20,2)</f>
        <v>0.06</v>
      </c>
      <c r="Z186" s="201">
        <f>ROUND(U186*$S$20,2)</f>
        <v>3.95</v>
      </c>
      <c r="AA186" s="202">
        <f>SUM(U186:Z186)</f>
        <v>9.33</v>
      </c>
      <c r="AB186" s="203">
        <f>ROUND(AA186*$S$21,2)</f>
        <v>2.8</v>
      </c>
      <c r="AC186" s="204">
        <f>SUM(AA186:AB186)</f>
        <v>12.129999999999999</v>
      </c>
      <c r="AD186" s="205">
        <f>ROUND(AC186*$AD$19/95,2)</f>
        <v>0.64</v>
      </c>
      <c r="AE186" s="206">
        <f>SUM(AC186:AD186)</f>
        <v>12.77</v>
      </c>
      <c r="AF186" s="222"/>
      <c r="AG186" s="235" t="s">
        <v>941</v>
      </c>
      <c r="AH186" s="446" t="s">
        <v>942</v>
      </c>
      <c r="AI186" s="446"/>
      <c r="AJ186" s="223" t="s">
        <v>54</v>
      </c>
      <c r="AK186" s="223"/>
      <c r="AL186" s="207">
        <f t="shared" si="134"/>
        <v>12.77</v>
      </c>
      <c r="AM186" s="207"/>
      <c r="AN186" s="207">
        <f t="shared" si="135"/>
        <v>7.170000000000001</v>
      </c>
      <c r="AO186" s="268"/>
      <c r="AP186" s="218"/>
      <c r="AQ186" s="235" t="s">
        <v>941</v>
      </c>
      <c r="AR186" s="446" t="s">
        <v>942</v>
      </c>
      <c r="AS186" s="446"/>
      <c r="AT186" s="252">
        <v>20</v>
      </c>
      <c r="AU186" s="214">
        <f t="shared" si="122"/>
        <v>0.0565</v>
      </c>
      <c r="AV186" s="269">
        <f t="shared" si="123"/>
        <v>1.13</v>
      </c>
      <c r="AW186" s="269">
        <f t="shared" si="136"/>
        <v>0</v>
      </c>
      <c r="AX186" s="198">
        <f t="shared" si="124"/>
        <v>1.13</v>
      </c>
      <c r="AY186" s="190">
        <v>20</v>
      </c>
      <c r="AZ186" s="214">
        <f t="shared" si="125"/>
        <v>0.0445</v>
      </c>
      <c r="BA186" s="269">
        <f t="shared" si="126"/>
        <v>0.89</v>
      </c>
      <c r="BB186" s="269">
        <f t="shared" si="137"/>
        <v>0</v>
      </c>
      <c r="BC186" s="198">
        <f t="shared" si="127"/>
        <v>0.89</v>
      </c>
      <c r="BD186" s="199">
        <f t="shared" si="128"/>
        <v>2.02</v>
      </c>
      <c r="BE186" s="235" t="s">
        <v>941</v>
      </c>
      <c r="BF186" s="446" t="s">
        <v>942</v>
      </c>
      <c r="BG186" s="446"/>
      <c r="BH186" s="225" t="s">
        <v>54</v>
      </c>
      <c r="BI186" s="200">
        <f t="shared" si="153"/>
        <v>2.02</v>
      </c>
      <c r="BJ186" s="200">
        <f t="shared" si="139"/>
        <v>0.21</v>
      </c>
      <c r="BK186" s="197">
        <f t="shared" si="154"/>
        <v>0.76</v>
      </c>
      <c r="BL186" s="197">
        <f t="shared" si="155"/>
        <v>0</v>
      </c>
      <c r="BM186" s="197">
        <f t="shared" si="156"/>
        <v>0.03</v>
      </c>
      <c r="BN186" s="201">
        <f t="shared" si="157"/>
        <v>2.22</v>
      </c>
      <c r="BO186" s="202">
        <f t="shared" si="158"/>
        <v>5.24</v>
      </c>
      <c r="BP186" s="203">
        <f t="shared" si="145"/>
        <v>1.57</v>
      </c>
      <c r="BQ186" s="204">
        <f t="shared" si="159"/>
        <v>6.8100000000000005</v>
      </c>
      <c r="BR186" s="205">
        <f t="shared" si="147"/>
        <v>0.36</v>
      </c>
      <c r="BS186" s="206">
        <f t="shared" si="160"/>
        <v>7.170000000000001</v>
      </c>
      <c r="BT186" s="84"/>
    </row>
    <row r="187" spans="1:72" ht="19.5" customHeight="1">
      <c r="A187" s="24"/>
      <c r="B187" s="233" t="s">
        <v>363</v>
      </c>
      <c r="C187" s="234" t="s">
        <v>364</v>
      </c>
      <c r="D187" s="251"/>
      <c r="E187" s="255"/>
      <c r="F187" s="256"/>
      <c r="G187" s="253"/>
      <c r="H187" s="253"/>
      <c r="I187" s="254"/>
      <c r="J187" s="257"/>
      <c r="K187" s="255"/>
      <c r="L187" s="253"/>
      <c r="M187" s="253"/>
      <c r="N187" s="254"/>
      <c r="O187" s="220"/>
      <c r="P187" s="233" t="s">
        <v>363</v>
      </c>
      <c r="Q187" s="442" t="s">
        <v>364</v>
      </c>
      <c r="R187" s="442"/>
      <c r="S187" s="76"/>
      <c r="T187" s="219"/>
      <c r="U187" s="253"/>
      <c r="V187" s="253"/>
      <c r="W187" s="253"/>
      <c r="X187" s="253"/>
      <c r="Y187" s="253"/>
      <c r="Z187" s="253"/>
      <c r="AA187" s="253"/>
      <c r="AB187" s="253"/>
      <c r="AC187" s="253"/>
      <c r="AD187" s="253"/>
      <c r="AE187" s="220"/>
      <c r="AF187" s="24"/>
      <c r="AG187" s="233" t="s">
        <v>363</v>
      </c>
      <c r="AH187" s="442" t="s">
        <v>364</v>
      </c>
      <c r="AI187" s="442"/>
      <c r="AJ187" s="78"/>
      <c r="AK187" s="78"/>
      <c r="AL187" s="207"/>
      <c r="AM187" s="207"/>
      <c r="AN187" s="207"/>
      <c r="AO187" s="19"/>
      <c r="AP187" s="24"/>
      <c r="AQ187" s="233" t="s">
        <v>363</v>
      </c>
      <c r="AR187" s="442" t="s">
        <v>364</v>
      </c>
      <c r="AS187" s="442"/>
      <c r="AT187" s="29"/>
      <c r="AU187" s="256"/>
      <c r="AV187" s="254"/>
      <c r="AW187" s="254"/>
      <c r="AX187" s="254"/>
      <c r="AY187" s="255"/>
      <c r="AZ187" s="256"/>
      <c r="BA187" s="254"/>
      <c r="BB187" s="254"/>
      <c r="BC187" s="254"/>
      <c r="BD187" s="220"/>
      <c r="BE187" s="233" t="s">
        <v>363</v>
      </c>
      <c r="BF187" s="442" t="s">
        <v>364</v>
      </c>
      <c r="BG187" s="442"/>
      <c r="BH187" s="22"/>
      <c r="BI187" s="253"/>
      <c r="BJ187" s="253"/>
      <c r="BK187" s="253"/>
      <c r="BL187" s="253"/>
      <c r="BM187" s="253"/>
      <c r="BN187" s="253"/>
      <c r="BO187" s="253"/>
      <c r="BP187" s="253"/>
      <c r="BQ187" s="253"/>
      <c r="BR187" s="253"/>
      <c r="BS187" s="220"/>
      <c r="BT187" s="24"/>
    </row>
    <row r="188" spans="1:72" ht="29.25" customHeight="1">
      <c r="A188" s="85"/>
      <c r="B188" s="235" t="s">
        <v>365</v>
      </c>
      <c r="C188" s="236" t="s">
        <v>366</v>
      </c>
      <c r="D188" s="78" t="s">
        <v>53</v>
      </c>
      <c r="E188" s="190">
        <v>0</v>
      </c>
      <c r="F188" s="214">
        <f>$G$15</f>
        <v>0.0565</v>
      </c>
      <c r="G188" s="197">
        <f>ROUND(E188*F188,2)</f>
        <v>0</v>
      </c>
      <c r="H188" s="197">
        <f>ROUND(G188*($A$16+$A$17)/100,2)</f>
        <v>0</v>
      </c>
      <c r="I188" s="198">
        <f>SUM(G188:H188)</f>
        <v>0</v>
      </c>
      <c r="J188" s="257">
        <v>65</v>
      </c>
      <c r="K188" s="214">
        <f>$G$18</f>
        <v>0.0445</v>
      </c>
      <c r="L188" s="197">
        <f>ROUND(J188*K188,2)</f>
        <v>2.89</v>
      </c>
      <c r="M188" s="197">
        <f>ROUND(L188*($A$16+$A$17)/100,2)</f>
        <v>0</v>
      </c>
      <c r="N188" s="198">
        <f>SUM(L188:M188)</f>
        <v>2.89</v>
      </c>
      <c r="O188" s="199">
        <f>SUM(I188,N188)</f>
        <v>2.89</v>
      </c>
      <c r="P188" s="235" t="s">
        <v>365</v>
      </c>
      <c r="Q188" s="446" t="s">
        <v>366</v>
      </c>
      <c r="R188" s="446"/>
      <c r="S188" s="76"/>
      <c r="T188" s="22" t="s">
        <v>54</v>
      </c>
      <c r="U188" s="200">
        <f>O188</f>
        <v>2.89</v>
      </c>
      <c r="V188" s="200">
        <f>ROUND(U188*$S$19,2)</f>
        <v>0.3</v>
      </c>
      <c r="W188" s="197">
        <f>ROUND(SUM(U188:V188)*$AA$19,2)</f>
        <v>1.08</v>
      </c>
      <c r="X188" s="197">
        <f>ROUND(SUM(U188:V188)*$AA$21,2)</f>
        <v>0</v>
      </c>
      <c r="Y188" s="197">
        <f>ROUND(SUM(U188:V188)*$AA$20,2)</f>
        <v>0.05</v>
      </c>
      <c r="Z188" s="201">
        <f>ROUND(U188*$S$20,2)</f>
        <v>3.17</v>
      </c>
      <c r="AA188" s="202">
        <f>SUM(U188:Z188)</f>
        <v>7.489999999999999</v>
      </c>
      <c r="AB188" s="203">
        <f>ROUND(AA188*$S$21,2)</f>
        <v>2.25</v>
      </c>
      <c r="AC188" s="204">
        <f>SUM(AA188:AB188)</f>
        <v>9.739999999999998</v>
      </c>
      <c r="AD188" s="205">
        <f>ROUND(AC188*$AD$19/95,2)</f>
        <v>0.51</v>
      </c>
      <c r="AE188" s="206">
        <f>SUM(AC188:AD188)</f>
        <v>10.249999999999998</v>
      </c>
      <c r="AF188" s="85"/>
      <c r="AG188" s="235" t="s">
        <v>365</v>
      </c>
      <c r="AH188" s="446" t="s">
        <v>366</v>
      </c>
      <c r="AI188" s="446"/>
      <c r="AJ188" s="78"/>
      <c r="AK188" s="78"/>
      <c r="AL188" s="207">
        <f t="shared" si="134"/>
        <v>10.249999999999998</v>
      </c>
      <c r="AM188" s="207"/>
      <c r="AN188" s="207">
        <f t="shared" si="135"/>
        <v>8.69</v>
      </c>
      <c r="AO188" s="19"/>
      <c r="AP188" s="85"/>
      <c r="AQ188" s="235" t="s">
        <v>365</v>
      </c>
      <c r="AR188" s="446" t="s">
        <v>366</v>
      </c>
      <c r="AS188" s="446"/>
      <c r="AT188" s="29">
        <v>0</v>
      </c>
      <c r="AU188" s="214">
        <f t="shared" si="122"/>
        <v>0.0565</v>
      </c>
      <c r="AV188" s="269">
        <f t="shared" si="123"/>
        <v>0</v>
      </c>
      <c r="AW188" s="269">
        <f t="shared" si="136"/>
        <v>0</v>
      </c>
      <c r="AX188" s="198">
        <f t="shared" si="124"/>
        <v>0</v>
      </c>
      <c r="AY188" s="190">
        <v>55</v>
      </c>
      <c r="AZ188" s="214">
        <f t="shared" si="125"/>
        <v>0.0445</v>
      </c>
      <c r="BA188" s="269">
        <f t="shared" si="126"/>
        <v>2.45</v>
      </c>
      <c r="BB188" s="269">
        <f t="shared" si="137"/>
        <v>0</v>
      </c>
      <c r="BC188" s="198">
        <f t="shared" si="127"/>
        <v>2.45</v>
      </c>
      <c r="BD188" s="199">
        <f t="shared" si="128"/>
        <v>2.45</v>
      </c>
      <c r="BE188" s="235" t="s">
        <v>365</v>
      </c>
      <c r="BF188" s="446" t="s">
        <v>366</v>
      </c>
      <c r="BG188" s="446"/>
      <c r="BH188" s="22"/>
      <c r="BI188" s="200">
        <f t="shared" si="153"/>
        <v>2.45</v>
      </c>
      <c r="BJ188" s="200">
        <f t="shared" si="139"/>
        <v>0.25</v>
      </c>
      <c r="BK188" s="197">
        <f t="shared" si="154"/>
        <v>0.92</v>
      </c>
      <c r="BL188" s="197">
        <f t="shared" si="155"/>
        <v>0</v>
      </c>
      <c r="BM188" s="197">
        <f t="shared" si="156"/>
        <v>0.04</v>
      </c>
      <c r="BN188" s="201">
        <f t="shared" si="157"/>
        <v>2.69</v>
      </c>
      <c r="BO188" s="202">
        <f t="shared" si="158"/>
        <v>6.35</v>
      </c>
      <c r="BP188" s="203">
        <f t="shared" si="145"/>
        <v>1.91</v>
      </c>
      <c r="BQ188" s="204">
        <f t="shared" si="159"/>
        <v>8.26</v>
      </c>
      <c r="BR188" s="205">
        <f t="shared" si="147"/>
        <v>0.43</v>
      </c>
      <c r="BS188" s="206">
        <f t="shared" si="160"/>
        <v>8.69</v>
      </c>
      <c r="BT188" s="85"/>
    </row>
    <row r="189" spans="1:72" ht="38.25" customHeight="1">
      <c r="A189" s="85"/>
      <c r="B189" s="235" t="s">
        <v>367</v>
      </c>
      <c r="C189" s="236" t="s">
        <v>368</v>
      </c>
      <c r="D189" s="78" t="s">
        <v>53</v>
      </c>
      <c r="E189" s="190">
        <v>0</v>
      </c>
      <c r="F189" s="214">
        <f>$G$15</f>
        <v>0.0565</v>
      </c>
      <c r="G189" s="197">
        <f>ROUND(E189*F189,2)</f>
        <v>0</v>
      </c>
      <c r="H189" s="197">
        <f>ROUND(G189*($A$16+$A$17)/100,2)</f>
        <v>0</v>
      </c>
      <c r="I189" s="198">
        <f>SUM(G189:H189)</f>
        <v>0</v>
      </c>
      <c r="J189" s="257">
        <v>20</v>
      </c>
      <c r="K189" s="214">
        <f>$G$18</f>
        <v>0.0445</v>
      </c>
      <c r="L189" s="197">
        <f>ROUND(J189*K189,2)</f>
        <v>0.89</v>
      </c>
      <c r="M189" s="197">
        <f>ROUND(L189*($A$16+$A$17)/100,2)</f>
        <v>0</v>
      </c>
      <c r="N189" s="198">
        <f>SUM(L189:M189)</f>
        <v>0.89</v>
      </c>
      <c r="O189" s="199">
        <f>SUM(I189,N189)</f>
        <v>0.89</v>
      </c>
      <c r="P189" s="235" t="s">
        <v>367</v>
      </c>
      <c r="Q189" s="446" t="s">
        <v>368</v>
      </c>
      <c r="R189" s="446"/>
      <c r="S189" s="76"/>
      <c r="T189" s="22" t="s">
        <v>54</v>
      </c>
      <c r="U189" s="200">
        <f>O189</f>
        <v>0.89</v>
      </c>
      <c r="V189" s="200">
        <f>ROUND(U189*$S$19,2)</f>
        <v>0.09</v>
      </c>
      <c r="W189" s="197">
        <f>ROUND(SUM(U189:V189)*$AA$19,2)</f>
        <v>0.33</v>
      </c>
      <c r="X189" s="197">
        <f>ROUND(SUM(U189:V189)*$AA$21,2)</f>
        <v>0</v>
      </c>
      <c r="Y189" s="197">
        <f>ROUND(SUM(U189:V189)*$AA$20,2)</f>
        <v>0.01</v>
      </c>
      <c r="Z189" s="201">
        <f>ROUND(U189*$S$20,2)</f>
        <v>0.98</v>
      </c>
      <c r="AA189" s="202">
        <f>SUM(U189:Z189)</f>
        <v>2.3</v>
      </c>
      <c r="AB189" s="203">
        <f>ROUND(AA189*$S$21,2)</f>
        <v>0.69</v>
      </c>
      <c r="AC189" s="204">
        <f>SUM(AA189:AB189)</f>
        <v>2.9899999999999998</v>
      </c>
      <c r="AD189" s="205">
        <f>ROUND(AC189*$AD$19/95,2)</f>
        <v>0.16</v>
      </c>
      <c r="AE189" s="206">
        <f>SUM(AC189:AD189)</f>
        <v>3.15</v>
      </c>
      <c r="AF189" s="85"/>
      <c r="AG189" s="235" t="s">
        <v>367</v>
      </c>
      <c r="AH189" s="446" t="s">
        <v>368</v>
      </c>
      <c r="AI189" s="446"/>
      <c r="AJ189" s="78"/>
      <c r="AK189" s="78"/>
      <c r="AL189" s="207">
        <f t="shared" si="134"/>
        <v>3.15</v>
      </c>
      <c r="AM189" s="207"/>
      <c r="AN189" s="207">
        <f t="shared" si="135"/>
        <v>1.6</v>
      </c>
      <c r="AO189" s="19"/>
      <c r="AP189" s="85"/>
      <c r="AQ189" s="235" t="s">
        <v>367</v>
      </c>
      <c r="AR189" s="446" t="s">
        <v>368</v>
      </c>
      <c r="AS189" s="446"/>
      <c r="AT189" s="29">
        <v>0</v>
      </c>
      <c r="AU189" s="214">
        <f t="shared" si="122"/>
        <v>0.0565</v>
      </c>
      <c r="AV189" s="269">
        <f t="shared" si="123"/>
        <v>0</v>
      </c>
      <c r="AW189" s="269">
        <f t="shared" si="136"/>
        <v>0</v>
      </c>
      <c r="AX189" s="198">
        <f t="shared" si="124"/>
        <v>0</v>
      </c>
      <c r="AY189" s="190">
        <v>10</v>
      </c>
      <c r="AZ189" s="214">
        <f t="shared" si="125"/>
        <v>0.0445</v>
      </c>
      <c r="BA189" s="269">
        <f t="shared" si="126"/>
        <v>0.45</v>
      </c>
      <c r="BB189" s="269">
        <f t="shared" si="137"/>
        <v>0</v>
      </c>
      <c r="BC189" s="198">
        <f t="shared" si="127"/>
        <v>0.45</v>
      </c>
      <c r="BD189" s="199">
        <f t="shared" si="128"/>
        <v>0.45</v>
      </c>
      <c r="BE189" s="235" t="s">
        <v>367</v>
      </c>
      <c r="BF189" s="446" t="s">
        <v>368</v>
      </c>
      <c r="BG189" s="446"/>
      <c r="BH189" s="22"/>
      <c r="BI189" s="200">
        <f t="shared" si="153"/>
        <v>0.45</v>
      </c>
      <c r="BJ189" s="200">
        <f t="shared" si="139"/>
        <v>0.05</v>
      </c>
      <c r="BK189" s="197">
        <f t="shared" si="154"/>
        <v>0.17</v>
      </c>
      <c r="BL189" s="197">
        <f t="shared" si="155"/>
        <v>0</v>
      </c>
      <c r="BM189" s="197">
        <f t="shared" si="156"/>
        <v>0.01</v>
      </c>
      <c r="BN189" s="201">
        <f t="shared" si="157"/>
        <v>0.49</v>
      </c>
      <c r="BO189" s="202">
        <f t="shared" si="158"/>
        <v>1.17</v>
      </c>
      <c r="BP189" s="203">
        <f t="shared" si="145"/>
        <v>0.35</v>
      </c>
      <c r="BQ189" s="204">
        <f t="shared" si="159"/>
        <v>1.52</v>
      </c>
      <c r="BR189" s="205">
        <f t="shared" si="147"/>
        <v>0.08</v>
      </c>
      <c r="BS189" s="206">
        <f t="shared" si="160"/>
        <v>1.6</v>
      </c>
      <c r="BT189" s="85"/>
    </row>
    <row r="190" spans="1:72" ht="25.5">
      <c r="A190" s="264"/>
      <c r="B190" s="243" t="s">
        <v>369</v>
      </c>
      <c r="C190" s="263" t="s">
        <v>370</v>
      </c>
      <c r="D190" s="78" t="s">
        <v>53</v>
      </c>
      <c r="E190" s="190">
        <v>35</v>
      </c>
      <c r="F190" s="214">
        <f>$G$15</f>
        <v>0.0565</v>
      </c>
      <c r="G190" s="197">
        <f>ROUND(E190*F190,2)</f>
        <v>1.98</v>
      </c>
      <c r="H190" s="197">
        <f>ROUND(G190*($A$16+$A$17)/100,2)</f>
        <v>0</v>
      </c>
      <c r="I190" s="198">
        <f>SUM(G190:H190)</f>
        <v>1.98</v>
      </c>
      <c r="J190" s="257">
        <v>40</v>
      </c>
      <c r="K190" s="214">
        <f>$G$18</f>
        <v>0.0445</v>
      </c>
      <c r="L190" s="197">
        <f>ROUND(J190*K190,2)</f>
        <v>1.78</v>
      </c>
      <c r="M190" s="197">
        <f>ROUND(L190*($A$16+$A$17)/100,2)</f>
        <v>0</v>
      </c>
      <c r="N190" s="198">
        <f>SUM(L190:M190)</f>
        <v>1.78</v>
      </c>
      <c r="O190" s="199">
        <f>SUM(I190,N190)</f>
        <v>3.76</v>
      </c>
      <c r="P190" s="243" t="s">
        <v>369</v>
      </c>
      <c r="Q190" s="460" t="s">
        <v>370</v>
      </c>
      <c r="R190" s="460"/>
      <c r="S190" s="76"/>
      <c r="T190" s="22" t="s">
        <v>54</v>
      </c>
      <c r="U190" s="200">
        <f>O190</f>
        <v>3.76</v>
      </c>
      <c r="V190" s="200">
        <f>ROUND(U190*$S$19,2)</f>
        <v>0.39</v>
      </c>
      <c r="W190" s="197">
        <f>ROUND(SUM(U190:V190)*$AA$19,2)</f>
        <v>1.41</v>
      </c>
      <c r="X190" s="197">
        <f>ROUND(SUM(U190:V190)*$AA$21,2)</f>
        <v>0</v>
      </c>
      <c r="Y190" s="197">
        <f>ROUND(SUM(U190:V190)*$AA$20,2)</f>
        <v>0.06</v>
      </c>
      <c r="Z190" s="201">
        <f>ROUND(U190*$S$20,2)</f>
        <v>4.13</v>
      </c>
      <c r="AA190" s="202">
        <f>SUM(U190:Z190)</f>
        <v>9.75</v>
      </c>
      <c r="AB190" s="203">
        <f>ROUND(AA190*$S$21,2)</f>
        <v>2.93</v>
      </c>
      <c r="AC190" s="204">
        <f>SUM(AA190:AB190)</f>
        <v>12.68</v>
      </c>
      <c r="AD190" s="205">
        <f>ROUND(AC190*$AD$19/95,2)</f>
        <v>0.67</v>
      </c>
      <c r="AE190" s="206">
        <f>SUM(AC190:AD190)</f>
        <v>13.35</v>
      </c>
      <c r="AF190" s="86"/>
      <c r="AG190" s="243" t="s">
        <v>369</v>
      </c>
      <c r="AH190" s="460" t="s">
        <v>370</v>
      </c>
      <c r="AI190" s="460"/>
      <c r="AJ190" s="78"/>
      <c r="AK190" s="78"/>
      <c r="AL190" s="207">
        <f t="shared" si="134"/>
        <v>13.35</v>
      </c>
      <c r="AM190" s="207"/>
      <c r="AN190" s="207">
        <f t="shared" si="135"/>
        <v>10.780000000000001</v>
      </c>
      <c r="AO190" s="19"/>
      <c r="AP190" s="86"/>
      <c r="AQ190" s="243" t="s">
        <v>369</v>
      </c>
      <c r="AR190" s="460" t="s">
        <v>370</v>
      </c>
      <c r="AS190" s="460"/>
      <c r="AT190" s="29">
        <v>30</v>
      </c>
      <c r="AU190" s="214">
        <f t="shared" si="122"/>
        <v>0.0565</v>
      </c>
      <c r="AV190" s="269">
        <f t="shared" si="123"/>
        <v>1.7</v>
      </c>
      <c r="AW190" s="269">
        <f t="shared" si="136"/>
        <v>0</v>
      </c>
      <c r="AX190" s="198">
        <f t="shared" si="124"/>
        <v>1.7</v>
      </c>
      <c r="AY190" s="190">
        <v>30</v>
      </c>
      <c r="AZ190" s="214">
        <f t="shared" si="125"/>
        <v>0.0445</v>
      </c>
      <c r="BA190" s="269">
        <f t="shared" si="126"/>
        <v>1.34</v>
      </c>
      <c r="BB190" s="269">
        <f t="shared" si="137"/>
        <v>0</v>
      </c>
      <c r="BC190" s="198">
        <f t="shared" si="127"/>
        <v>1.34</v>
      </c>
      <c r="BD190" s="199">
        <f t="shared" si="128"/>
        <v>3.04</v>
      </c>
      <c r="BE190" s="243" t="s">
        <v>369</v>
      </c>
      <c r="BF190" s="460" t="s">
        <v>370</v>
      </c>
      <c r="BG190" s="460"/>
      <c r="BH190" s="22"/>
      <c r="BI190" s="200">
        <f t="shared" si="153"/>
        <v>3.04</v>
      </c>
      <c r="BJ190" s="200">
        <f t="shared" si="139"/>
        <v>0.31</v>
      </c>
      <c r="BK190" s="197">
        <f t="shared" si="154"/>
        <v>1.14</v>
      </c>
      <c r="BL190" s="197">
        <f t="shared" si="155"/>
        <v>0</v>
      </c>
      <c r="BM190" s="197">
        <f t="shared" si="156"/>
        <v>0.05</v>
      </c>
      <c r="BN190" s="201">
        <f t="shared" si="157"/>
        <v>3.34</v>
      </c>
      <c r="BO190" s="202">
        <f t="shared" si="158"/>
        <v>7.88</v>
      </c>
      <c r="BP190" s="203">
        <f t="shared" si="145"/>
        <v>2.36</v>
      </c>
      <c r="BQ190" s="204">
        <f t="shared" si="159"/>
        <v>10.24</v>
      </c>
      <c r="BR190" s="205">
        <f t="shared" si="147"/>
        <v>0.54</v>
      </c>
      <c r="BS190" s="206">
        <f t="shared" si="160"/>
        <v>10.780000000000001</v>
      </c>
      <c r="BT190" s="86"/>
    </row>
    <row r="191" spans="1:72" ht="13.5" customHeight="1">
      <c r="A191" s="264"/>
      <c r="B191" s="243" t="s">
        <v>948</v>
      </c>
      <c r="C191" s="282" t="s">
        <v>949</v>
      </c>
      <c r="D191" s="78" t="s">
        <v>53</v>
      </c>
      <c r="E191" s="190"/>
      <c r="F191" s="214">
        <f>$G$15</f>
        <v>0.0565</v>
      </c>
      <c r="G191" s="197">
        <f>ROUND(E191*F191,2)</f>
        <v>0</v>
      </c>
      <c r="H191" s="197">
        <f>ROUND(G191*($A$16+$A$17)/100,2)</f>
        <v>0</v>
      </c>
      <c r="I191" s="198">
        <f>SUM(G191:H191)</f>
        <v>0</v>
      </c>
      <c r="J191" s="257">
        <v>30</v>
      </c>
      <c r="K191" s="214">
        <f>$G$18</f>
        <v>0.0445</v>
      </c>
      <c r="L191" s="197">
        <f>ROUND(J191*K191,2)</f>
        <v>1.34</v>
      </c>
      <c r="M191" s="197">
        <f>ROUND(L191*($A$16+$A$17)/100,2)</f>
        <v>0</v>
      </c>
      <c r="N191" s="198">
        <f>SUM(L191:M191)</f>
        <v>1.34</v>
      </c>
      <c r="O191" s="199">
        <f>SUM(I191,N191)</f>
        <v>1.34</v>
      </c>
      <c r="P191" s="243" t="s">
        <v>948</v>
      </c>
      <c r="Q191" s="460" t="s">
        <v>949</v>
      </c>
      <c r="R191" s="460"/>
      <c r="S191" s="76"/>
      <c r="T191" s="22" t="s">
        <v>54</v>
      </c>
      <c r="U191" s="200">
        <f>O191</f>
        <v>1.34</v>
      </c>
      <c r="V191" s="200">
        <f>ROUND(U191*$S$19,2)</f>
        <v>0.14</v>
      </c>
      <c r="W191" s="197">
        <f>ROUND(SUM(U191:V191)*$AA$19,2)</f>
        <v>0.5</v>
      </c>
      <c r="X191" s="197">
        <f>ROUND(SUM(U191:V191)*$AA$21,2)</f>
        <v>0</v>
      </c>
      <c r="Y191" s="197">
        <f>ROUND(SUM(U191:V191)*$AA$20,2)</f>
        <v>0.02</v>
      </c>
      <c r="Z191" s="201">
        <f>ROUND(U191*$S$20,2)</f>
        <v>1.47</v>
      </c>
      <c r="AA191" s="202">
        <f>SUM(U191:Z191)</f>
        <v>3.4699999999999998</v>
      </c>
      <c r="AB191" s="203">
        <f>ROUND(AA191*$S$21,2)</f>
        <v>1.04</v>
      </c>
      <c r="AC191" s="204">
        <f>SUM(AA191:AB191)</f>
        <v>4.51</v>
      </c>
      <c r="AD191" s="205">
        <f>ROUND(AC191*$AD$19/95,2)</f>
        <v>0.24</v>
      </c>
      <c r="AE191" s="206">
        <f>SUM(AC191:AD191)</f>
        <v>4.75</v>
      </c>
      <c r="AF191" s="86"/>
      <c r="AG191" s="243" t="s">
        <v>948</v>
      </c>
      <c r="AH191" s="460" t="s">
        <v>949</v>
      </c>
      <c r="AI191" s="460"/>
      <c r="AJ191" s="78"/>
      <c r="AK191" s="78"/>
      <c r="AL191" s="207">
        <f>AE191</f>
        <v>4.75</v>
      </c>
      <c r="AM191" s="207"/>
      <c r="AN191" s="207">
        <f>BS191</f>
        <v>3.93</v>
      </c>
      <c r="AO191" s="19"/>
      <c r="AP191" s="86"/>
      <c r="AQ191" s="243" t="s">
        <v>948</v>
      </c>
      <c r="AR191" s="460" t="s">
        <v>949</v>
      </c>
      <c r="AS191" s="460"/>
      <c r="AT191" s="29"/>
      <c r="AU191" s="214">
        <f t="shared" si="122"/>
        <v>0.0565</v>
      </c>
      <c r="AV191" s="269">
        <f>ROUND(AT191*AU191,2)</f>
        <v>0</v>
      </c>
      <c r="AW191" s="269">
        <f>ROUND(AV191*($A$16+$A$17)/100,2)</f>
        <v>0</v>
      </c>
      <c r="AX191" s="198">
        <f>SUM(AV191:AW191)</f>
        <v>0</v>
      </c>
      <c r="AY191" s="190">
        <v>25</v>
      </c>
      <c r="AZ191" s="214">
        <f t="shared" si="125"/>
        <v>0.0445</v>
      </c>
      <c r="BA191" s="269">
        <f>ROUND(AY191*AZ191,2)</f>
        <v>1.11</v>
      </c>
      <c r="BB191" s="269">
        <f>ROUND(BA191*($A$16+$A$17)/100,2)</f>
        <v>0</v>
      </c>
      <c r="BC191" s="198">
        <f>SUM(BA191:BB191)</f>
        <v>1.11</v>
      </c>
      <c r="BD191" s="199">
        <f>SUM(AX191,BC191)</f>
        <v>1.11</v>
      </c>
      <c r="BE191" s="243" t="s">
        <v>948</v>
      </c>
      <c r="BF191" s="460" t="s">
        <v>949</v>
      </c>
      <c r="BG191" s="460"/>
      <c r="BH191" s="22"/>
      <c r="BI191" s="200">
        <f>BD191</f>
        <v>1.11</v>
      </c>
      <c r="BJ191" s="200">
        <f>ROUND(BI191*$S$19,2)</f>
        <v>0.11</v>
      </c>
      <c r="BK191" s="197">
        <f>ROUND(SUM(BI191:BJ191)*$AA$19,2)</f>
        <v>0.41</v>
      </c>
      <c r="BL191" s="197">
        <f>ROUND(SUM(BI191:BJ191)*$AA$21,2)</f>
        <v>0</v>
      </c>
      <c r="BM191" s="197">
        <f>ROUND(SUM(BI191:BJ191)*$AA$20,2)</f>
        <v>0.02</v>
      </c>
      <c r="BN191" s="201">
        <f>ROUND(BI191*$S$20,2)</f>
        <v>1.22</v>
      </c>
      <c r="BO191" s="202">
        <f>SUM(BI191:BN191)</f>
        <v>2.87</v>
      </c>
      <c r="BP191" s="203">
        <f>ROUND(BO191*$S$21,2)</f>
        <v>0.86</v>
      </c>
      <c r="BQ191" s="204">
        <f>SUM(BO191:BP191)</f>
        <v>3.73</v>
      </c>
      <c r="BR191" s="205">
        <f>ROUND(BQ191*$AD$19/95,2)</f>
        <v>0.2</v>
      </c>
      <c r="BS191" s="206">
        <f>SUM(BQ191:BR191)</f>
        <v>3.93</v>
      </c>
      <c r="BT191" s="86"/>
    </row>
    <row r="192" spans="1:72" ht="12.75" customHeight="1">
      <c r="A192" s="24"/>
      <c r="B192" s="233" t="s">
        <v>951</v>
      </c>
      <c r="C192" s="362" t="s">
        <v>952</v>
      </c>
      <c r="D192" s="251"/>
      <c r="E192" s="255"/>
      <c r="F192" s="256"/>
      <c r="G192" s="253"/>
      <c r="H192" s="253"/>
      <c r="I192" s="254"/>
      <c r="J192" s="257"/>
      <c r="K192" s="255"/>
      <c r="L192" s="253"/>
      <c r="M192" s="253"/>
      <c r="N192" s="254"/>
      <c r="O192" s="220"/>
      <c r="P192" s="233" t="s">
        <v>951</v>
      </c>
      <c r="Q192" s="442" t="s">
        <v>952</v>
      </c>
      <c r="R192" s="442"/>
      <c r="S192" s="76"/>
      <c r="T192" s="219"/>
      <c r="U192" s="253"/>
      <c r="V192" s="253"/>
      <c r="W192" s="253"/>
      <c r="X192" s="253"/>
      <c r="Y192" s="253"/>
      <c r="Z192" s="253"/>
      <c r="AA192" s="253"/>
      <c r="AB192" s="253"/>
      <c r="AC192" s="253"/>
      <c r="AD192" s="253"/>
      <c r="AE192" s="220"/>
      <c r="AF192" s="24"/>
      <c r="AG192" s="233" t="s">
        <v>951</v>
      </c>
      <c r="AH192" s="442" t="s">
        <v>952</v>
      </c>
      <c r="AI192" s="442"/>
      <c r="AJ192" s="78"/>
      <c r="AK192" s="78"/>
      <c r="AL192" s="207"/>
      <c r="AM192" s="207"/>
      <c r="AN192" s="207"/>
      <c r="AO192" s="19"/>
      <c r="AP192" s="24"/>
      <c r="AQ192" s="233" t="s">
        <v>951</v>
      </c>
      <c r="AR192" s="442" t="s">
        <v>952</v>
      </c>
      <c r="AS192" s="442"/>
      <c r="AT192" s="29"/>
      <c r="AU192" s="256"/>
      <c r="AV192" s="254"/>
      <c r="AW192" s="254"/>
      <c r="AX192" s="254"/>
      <c r="AY192" s="255"/>
      <c r="AZ192" s="256"/>
      <c r="BA192" s="254"/>
      <c r="BB192" s="254"/>
      <c r="BC192" s="254"/>
      <c r="BD192" s="220"/>
      <c r="BE192" s="233" t="s">
        <v>951</v>
      </c>
      <c r="BF192" s="442" t="s">
        <v>952</v>
      </c>
      <c r="BG192" s="442"/>
      <c r="BH192" s="22"/>
      <c r="BI192" s="253"/>
      <c r="BJ192" s="253"/>
      <c r="BK192" s="253"/>
      <c r="BL192" s="253"/>
      <c r="BM192" s="253"/>
      <c r="BN192" s="253"/>
      <c r="BO192" s="253"/>
      <c r="BP192" s="253"/>
      <c r="BQ192" s="253"/>
      <c r="BR192" s="253"/>
      <c r="BS192" s="220"/>
      <c r="BT192" s="24"/>
    </row>
    <row r="193" spans="1:72" ht="26.25" customHeight="1">
      <c r="A193" s="85"/>
      <c r="B193" s="235" t="s">
        <v>953</v>
      </c>
      <c r="C193" s="363" t="s">
        <v>954</v>
      </c>
      <c r="D193" s="78" t="s">
        <v>53</v>
      </c>
      <c r="E193" s="190">
        <v>0</v>
      </c>
      <c r="F193" s="214">
        <f>$G$15</f>
        <v>0.0565</v>
      </c>
      <c r="G193" s="197">
        <f>ROUND(E193*F193,2)</f>
        <v>0</v>
      </c>
      <c r="H193" s="197">
        <f>ROUND(G193*($A$16+$A$17)/100,2)</f>
        <v>0</v>
      </c>
      <c r="I193" s="198">
        <f>SUM(G193:H193)</f>
        <v>0</v>
      </c>
      <c r="J193" s="257">
        <v>20</v>
      </c>
      <c r="K193" s="214">
        <f>$G$18</f>
        <v>0.0445</v>
      </c>
      <c r="L193" s="197">
        <f>ROUND(J193*K193,2)</f>
        <v>0.89</v>
      </c>
      <c r="M193" s="197">
        <f>ROUND(L193*($A$16+$A$17)/100,2)</f>
        <v>0</v>
      </c>
      <c r="N193" s="198">
        <f>SUM(L193:M193)</f>
        <v>0.89</v>
      </c>
      <c r="O193" s="199">
        <f>SUM(I193,N193)</f>
        <v>0.89</v>
      </c>
      <c r="P193" s="235" t="s">
        <v>953</v>
      </c>
      <c r="Q193" s="446" t="s">
        <v>954</v>
      </c>
      <c r="R193" s="446"/>
      <c r="S193" s="76"/>
      <c r="T193" s="22" t="s">
        <v>54</v>
      </c>
      <c r="U193" s="200">
        <f>O193</f>
        <v>0.89</v>
      </c>
      <c r="V193" s="200">
        <f>ROUND(U193*$S$19,2)</f>
        <v>0.09</v>
      </c>
      <c r="W193" s="197">
        <f>ROUND(SUM(U193:V193)*$AA$19,2)</f>
        <v>0.33</v>
      </c>
      <c r="X193" s="197">
        <f>ROUND(SUM(U193:V193)*$AA$21,2)</f>
        <v>0</v>
      </c>
      <c r="Y193" s="197">
        <f>ROUND(SUM(U193:V193)*$AA$20,2)</f>
        <v>0.01</v>
      </c>
      <c r="Z193" s="201">
        <f>ROUND(U193*$S$20,2)</f>
        <v>0.98</v>
      </c>
      <c r="AA193" s="202">
        <f>SUM(U193:Z193)</f>
        <v>2.3</v>
      </c>
      <c r="AB193" s="203">
        <f>ROUND(AA193*$S$21,2)</f>
        <v>0.69</v>
      </c>
      <c r="AC193" s="204">
        <f>SUM(AA193:AB193)</f>
        <v>2.9899999999999998</v>
      </c>
      <c r="AD193" s="205">
        <f>ROUND(AC193*$AD$19/95,2)</f>
        <v>0.16</v>
      </c>
      <c r="AE193" s="206">
        <f>SUM(AC193:AD193)</f>
        <v>3.15</v>
      </c>
      <c r="AF193" s="85"/>
      <c r="AG193" s="235" t="s">
        <v>953</v>
      </c>
      <c r="AH193" s="446" t="s">
        <v>954</v>
      </c>
      <c r="AI193" s="446"/>
      <c r="AJ193" s="78"/>
      <c r="AK193" s="78"/>
      <c r="AL193" s="207">
        <f>AE193</f>
        <v>3.15</v>
      </c>
      <c r="AM193" s="207"/>
      <c r="AN193" s="207">
        <f>BS193</f>
        <v>2.38</v>
      </c>
      <c r="AO193" s="19"/>
      <c r="AP193" s="85"/>
      <c r="AQ193" s="235" t="s">
        <v>953</v>
      </c>
      <c r="AR193" s="446" t="s">
        <v>954</v>
      </c>
      <c r="AS193" s="446"/>
      <c r="AT193" s="29">
        <v>0</v>
      </c>
      <c r="AU193" s="214">
        <f t="shared" si="122"/>
        <v>0.0565</v>
      </c>
      <c r="AV193" s="269">
        <f>ROUND(AT193*AU193,2)</f>
        <v>0</v>
      </c>
      <c r="AW193" s="269">
        <f>ROUND(AV193*($A$16+$A$17)/100,2)</f>
        <v>0</v>
      </c>
      <c r="AX193" s="198">
        <f>SUM(AV193:AW193)</f>
        <v>0</v>
      </c>
      <c r="AY193" s="190">
        <v>15</v>
      </c>
      <c r="AZ193" s="214">
        <f t="shared" si="125"/>
        <v>0.0445</v>
      </c>
      <c r="BA193" s="269">
        <f>ROUND(AY193*AZ193,2)</f>
        <v>0.67</v>
      </c>
      <c r="BB193" s="269">
        <f>ROUND(BA193*($A$16+$A$17)/100,2)</f>
        <v>0</v>
      </c>
      <c r="BC193" s="198">
        <f>SUM(BA193:BB193)</f>
        <v>0.67</v>
      </c>
      <c r="BD193" s="199">
        <f>SUM(AX193,BC193)</f>
        <v>0.67</v>
      </c>
      <c r="BE193" s="235" t="s">
        <v>953</v>
      </c>
      <c r="BF193" s="446" t="s">
        <v>954</v>
      </c>
      <c r="BG193" s="446"/>
      <c r="BH193" s="22"/>
      <c r="BI193" s="200">
        <f>BD193</f>
        <v>0.67</v>
      </c>
      <c r="BJ193" s="200">
        <f>ROUND(BI193*$S$19,2)</f>
        <v>0.07</v>
      </c>
      <c r="BK193" s="197">
        <f>ROUND(SUM(BI193:BJ193)*$AA$19,2)</f>
        <v>0.25</v>
      </c>
      <c r="BL193" s="197">
        <f>ROUND(SUM(BI193:BJ193)*$AA$21,2)</f>
        <v>0</v>
      </c>
      <c r="BM193" s="197">
        <f>ROUND(SUM(BI193:BJ193)*$AA$20,2)</f>
        <v>0.01</v>
      </c>
      <c r="BN193" s="201">
        <f>ROUND(BI193*$S$20,2)</f>
        <v>0.74</v>
      </c>
      <c r="BO193" s="202">
        <f>SUM(BI193:BN193)</f>
        <v>1.74</v>
      </c>
      <c r="BP193" s="203">
        <f>ROUND(BO193*$S$21,2)</f>
        <v>0.52</v>
      </c>
      <c r="BQ193" s="204">
        <f>SUM(BO193:BP193)</f>
        <v>2.26</v>
      </c>
      <c r="BR193" s="205">
        <f>ROUND(BQ193*$AD$19/95,2)</f>
        <v>0.12</v>
      </c>
      <c r="BS193" s="206">
        <f>SUM(BQ193:BR193)</f>
        <v>2.38</v>
      </c>
      <c r="BT193" s="85"/>
    </row>
    <row r="194" spans="1:72" ht="12" customHeight="1">
      <c r="A194" s="85"/>
      <c r="B194" s="235" t="s">
        <v>956</v>
      </c>
      <c r="C194" s="282" t="s">
        <v>957</v>
      </c>
      <c r="D194" s="78" t="s">
        <v>53</v>
      </c>
      <c r="E194" s="190">
        <v>20</v>
      </c>
      <c r="F194" s="214">
        <f>$G$15</f>
        <v>0.0565</v>
      </c>
      <c r="G194" s="197">
        <f>ROUND(E194*F194,2)</f>
        <v>1.13</v>
      </c>
      <c r="H194" s="197">
        <f>ROUND(G194*($A$16+$A$17)/100,2)</f>
        <v>0</v>
      </c>
      <c r="I194" s="198">
        <f>SUM(G194:H194)</f>
        <v>1.13</v>
      </c>
      <c r="J194" s="257">
        <v>50</v>
      </c>
      <c r="K194" s="214">
        <f>$G$18</f>
        <v>0.0445</v>
      </c>
      <c r="L194" s="197">
        <f>ROUND(J194*K194,2)</f>
        <v>2.23</v>
      </c>
      <c r="M194" s="197">
        <f>ROUND(L194*($A$16+$A$17)/100,2)</f>
        <v>0</v>
      </c>
      <c r="N194" s="198">
        <f>SUM(L194:M194)</f>
        <v>2.23</v>
      </c>
      <c r="O194" s="199">
        <f>SUM(I194,N194)</f>
        <v>3.36</v>
      </c>
      <c r="P194" s="235" t="s">
        <v>956</v>
      </c>
      <c r="Q194" s="446" t="s">
        <v>957</v>
      </c>
      <c r="R194" s="446"/>
      <c r="S194" s="76"/>
      <c r="T194" s="22" t="s">
        <v>54</v>
      </c>
      <c r="U194" s="200">
        <f>O194</f>
        <v>3.36</v>
      </c>
      <c r="V194" s="200">
        <f>ROUND(U194*$S$19,2)</f>
        <v>0.35</v>
      </c>
      <c r="W194" s="197">
        <f>ROUND(SUM(U194:V194)*$AA$19,2)</f>
        <v>1.26</v>
      </c>
      <c r="X194" s="197">
        <f>ROUND(SUM(U194:V194)*$AA$21,2)</f>
        <v>0</v>
      </c>
      <c r="Y194" s="197">
        <f>ROUND(SUM(U194:V194)*$AA$20,2)</f>
        <v>0.06</v>
      </c>
      <c r="Z194" s="201">
        <f>ROUND(U194*$S$20,2)</f>
        <v>3.69</v>
      </c>
      <c r="AA194" s="202">
        <f>SUM(U194:Z194)</f>
        <v>8.719999999999999</v>
      </c>
      <c r="AB194" s="203">
        <f>ROUND(AA194*$S$21,2)</f>
        <v>2.62</v>
      </c>
      <c r="AC194" s="204">
        <f>SUM(AA194:AB194)</f>
        <v>11.34</v>
      </c>
      <c r="AD194" s="205">
        <f>ROUND(AC194*$AD$19/95,2)</f>
        <v>0.6</v>
      </c>
      <c r="AE194" s="206">
        <f>SUM(AC194:AD194)</f>
        <v>11.94</v>
      </c>
      <c r="AF194" s="85"/>
      <c r="AG194" s="235" t="s">
        <v>956</v>
      </c>
      <c r="AH194" s="446" t="s">
        <v>957</v>
      </c>
      <c r="AI194" s="446"/>
      <c r="AJ194" s="78"/>
      <c r="AK194" s="78"/>
      <c r="AL194" s="207">
        <f>AE194</f>
        <v>11.94</v>
      </c>
      <c r="AM194" s="207"/>
      <c r="AN194" s="207">
        <f>BS194</f>
        <v>3.6300000000000003</v>
      </c>
      <c r="AO194" s="19"/>
      <c r="AP194" s="85"/>
      <c r="AQ194" s="235" t="s">
        <v>956</v>
      </c>
      <c r="AR194" s="446" t="s">
        <v>957</v>
      </c>
      <c r="AS194" s="446"/>
      <c r="AT194" s="29">
        <v>10</v>
      </c>
      <c r="AU194" s="214">
        <f t="shared" si="122"/>
        <v>0.0565</v>
      </c>
      <c r="AV194" s="269">
        <f>ROUND(AT194*AU194,2)</f>
        <v>0.57</v>
      </c>
      <c r="AW194" s="269">
        <f>ROUND(AV194*($A$16+$A$17)/100,2)</f>
        <v>0</v>
      </c>
      <c r="AX194" s="198">
        <f>SUM(AV194:AW194)</f>
        <v>0.57</v>
      </c>
      <c r="AY194" s="190">
        <v>10</v>
      </c>
      <c r="AZ194" s="214">
        <f t="shared" si="125"/>
        <v>0.0445</v>
      </c>
      <c r="BA194" s="269">
        <f>ROUND(AY194*AZ194,2)</f>
        <v>0.45</v>
      </c>
      <c r="BB194" s="269">
        <f>ROUND(BA194*($A$16+$A$17)/100,2)</f>
        <v>0</v>
      </c>
      <c r="BC194" s="198">
        <f>SUM(BA194:BB194)</f>
        <v>0.45</v>
      </c>
      <c r="BD194" s="199">
        <f>SUM(AX194,BC194)</f>
        <v>1.02</v>
      </c>
      <c r="BE194" s="235" t="s">
        <v>956</v>
      </c>
      <c r="BF194" s="446" t="s">
        <v>957</v>
      </c>
      <c r="BG194" s="446"/>
      <c r="BH194" s="22"/>
      <c r="BI194" s="200">
        <f>BD194</f>
        <v>1.02</v>
      </c>
      <c r="BJ194" s="200">
        <f>ROUND(BI194*$S$19,2)</f>
        <v>0.11</v>
      </c>
      <c r="BK194" s="197">
        <f>ROUND(SUM(BI194:BJ194)*$AA$19,2)</f>
        <v>0.38</v>
      </c>
      <c r="BL194" s="197">
        <f>ROUND(SUM(BI194:BJ194)*$AA$21,2)</f>
        <v>0</v>
      </c>
      <c r="BM194" s="197">
        <f>ROUND(SUM(BI194:BJ194)*$AA$20,2)</f>
        <v>0.02</v>
      </c>
      <c r="BN194" s="201">
        <f>ROUND(BI194*$S$20,2)</f>
        <v>1.12</v>
      </c>
      <c r="BO194" s="202">
        <f>SUM(BI194:BN194)</f>
        <v>2.6500000000000004</v>
      </c>
      <c r="BP194" s="203">
        <f>ROUND(BO194*$S$21,2)</f>
        <v>0.8</v>
      </c>
      <c r="BQ194" s="204">
        <f>SUM(BO194:BP194)</f>
        <v>3.45</v>
      </c>
      <c r="BR194" s="205">
        <f>ROUND(BQ194*$AD$19/95,2)</f>
        <v>0.18</v>
      </c>
      <c r="BS194" s="206">
        <f>SUM(BQ194:BR194)</f>
        <v>3.6300000000000003</v>
      </c>
      <c r="BT194" s="85"/>
    </row>
    <row r="195" spans="1:72" ht="19.5" customHeight="1">
      <c r="A195" s="85"/>
      <c r="B195" s="233" t="s">
        <v>371</v>
      </c>
      <c r="C195" s="234" t="s">
        <v>372</v>
      </c>
      <c r="D195" s="251"/>
      <c r="E195" s="255"/>
      <c r="F195" s="256"/>
      <c r="G195" s="253"/>
      <c r="H195" s="253"/>
      <c r="I195" s="254"/>
      <c r="J195" s="257"/>
      <c r="K195" s="255"/>
      <c r="L195" s="253"/>
      <c r="M195" s="253"/>
      <c r="N195" s="254"/>
      <c r="O195" s="220"/>
      <c r="P195" s="233" t="s">
        <v>371</v>
      </c>
      <c r="Q195" s="442" t="s">
        <v>372</v>
      </c>
      <c r="R195" s="442"/>
      <c r="S195" s="76"/>
      <c r="T195" s="22"/>
      <c r="U195" s="253"/>
      <c r="V195" s="253"/>
      <c r="W195" s="253"/>
      <c r="X195" s="253"/>
      <c r="Y195" s="253"/>
      <c r="Z195" s="253"/>
      <c r="AA195" s="253"/>
      <c r="AB195" s="253"/>
      <c r="AC195" s="253"/>
      <c r="AD195" s="253"/>
      <c r="AE195" s="220"/>
      <c r="AF195" s="85"/>
      <c r="AG195" s="233" t="s">
        <v>371</v>
      </c>
      <c r="AH195" s="442" t="s">
        <v>372</v>
      </c>
      <c r="AI195" s="442"/>
      <c r="AJ195" s="78"/>
      <c r="AK195" s="78"/>
      <c r="AL195" s="207"/>
      <c r="AM195" s="207"/>
      <c r="AN195" s="207"/>
      <c r="AO195" s="19"/>
      <c r="AP195" s="85"/>
      <c r="AQ195" s="233" t="s">
        <v>371</v>
      </c>
      <c r="AR195" s="442" t="s">
        <v>372</v>
      </c>
      <c r="AS195" s="442"/>
      <c r="AT195" s="29"/>
      <c r="AU195" s="256"/>
      <c r="AV195" s="254"/>
      <c r="AW195" s="254"/>
      <c r="AX195" s="254"/>
      <c r="AY195" s="255"/>
      <c r="AZ195" s="256"/>
      <c r="BA195" s="254"/>
      <c r="BB195" s="254"/>
      <c r="BC195" s="254"/>
      <c r="BD195" s="220"/>
      <c r="BE195" s="233" t="s">
        <v>371</v>
      </c>
      <c r="BF195" s="442" t="s">
        <v>372</v>
      </c>
      <c r="BG195" s="442"/>
      <c r="BH195" s="219"/>
      <c r="BI195" s="253"/>
      <c r="BJ195" s="253"/>
      <c r="BK195" s="253"/>
      <c r="BL195" s="253"/>
      <c r="BM195" s="253"/>
      <c r="BN195" s="253"/>
      <c r="BO195" s="253"/>
      <c r="BP195" s="253"/>
      <c r="BQ195" s="253"/>
      <c r="BR195" s="253"/>
      <c r="BS195" s="220"/>
      <c r="BT195" s="85"/>
    </row>
    <row r="196" spans="1:72" ht="23.25" customHeight="1">
      <c r="A196" s="87"/>
      <c r="B196" s="235" t="s">
        <v>373</v>
      </c>
      <c r="C196" s="236" t="s">
        <v>374</v>
      </c>
      <c r="D196" s="78" t="s">
        <v>53</v>
      </c>
      <c r="E196" s="190">
        <v>20</v>
      </c>
      <c r="F196" s="214">
        <f>$G$15</f>
        <v>0.0565</v>
      </c>
      <c r="G196" s="197">
        <f>ROUND(E196*F196,2)</f>
        <v>1.13</v>
      </c>
      <c r="H196" s="197">
        <f>ROUND(G196*($A$16+$A$17)/100,2)</f>
        <v>0</v>
      </c>
      <c r="I196" s="198">
        <f>SUM(G196:H196)</f>
        <v>1.13</v>
      </c>
      <c r="J196" s="257">
        <v>40</v>
      </c>
      <c r="K196" s="214">
        <f>$G$18</f>
        <v>0.0445</v>
      </c>
      <c r="L196" s="197">
        <f>ROUND(J196*K196,2)</f>
        <v>1.78</v>
      </c>
      <c r="M196" s="197">
        <f>ROUND(L196*($A$16+$A$17)/100,2)</f>
        <v>0</v>
      </c>
      <c r="N196" s="198">
        <f>SUM(L196:M196)</f>
        <v>1.78</v>
      </c>
      <c r="O196" s="199">
        <f>SUM(I196,N196)</f>
        <v>2.91</v>
      </c>
      <c r="P196" s="235" t="s">
        <v>373</v>
      </c>
      <c r="Q196" s="446" t="s">
        <v>374</v>
      </c>
      <c r="R196" s="446"/>
      <c r="S196" s="76"/>
      <c r="T196" s="22" t="s">
        <v>54</v>
      </c>
      <c r="U196" s="200">
        <f>O196</f>
        <v>2.91</v>
      </c>
      <c r="V196" s="200">
        <f>ROUND(U196*$S$19,2)</f>
        <v>0.3</v>
      </c>
      <c r="W196" s="197">
        <f>ROUND(SUM(U196:V196)*$AA$19,2)</f>
        <v>1.09</v>
      </c>
      <c r="X196" s="197">
        <f>ROUND(SUM(U196:V196)*$AA$21,2)</f>
        <v>0</v>
      </c>
      <c r="Y196" s="197">
        <f>ROUND(SUM(U196:V196)*$AA$20,2)</f>
        <v>0.05</v>
      </c>
      <c r="Z196" s="201">
        <f>ROUND(U196*$S$20,2)</f>
        <v>3.19</v>
      </c>
      <c r="AA196" s="202">
        <f>SUM(U196:Z196)</f>
        <v>7.539999999999999</v>
      </c>
      <c r="AB196" s="203">
        <f>ROUND(AA196*$S$21,2)</f>
        <v>2.26</v>
      </c>
      <c r="AC196" s="204">
        <f>SUM(AA196:AB196)</f>
        <v>9.799999999999999</v>
      </c>
      <c r="AD196" s="205">
        <f>ROUND(AC196*$AD$19/95,2)</f>
        <v>0.52</v>
      </c>
      <c r="AE196" s="206">
        <f>SUM(AC196:AD196)</f>
        <v>10.319999999999999</v>
      </c>
      <c r="AF196" s="87"/>
      <c r="AG196" s="235" t="s">
        <v>373</v>
      </c>
      <c r="AH196" s="446" t="s">
        <v>374</v>
      </c>
      <c r="AI196" s="446"/>
      <c r="AJ196" s="78" t="s">
        <v>54</v>
      </c>
      <c r="AK196" s="78"/>
      <c r="AL196" s="207">
        <f t="shared" si="134"/>
        <v>10.319999999999999</v>
      </c>
      <c r="AM196" s="207"/>
      <c r="AN196" s="207">
        <f t="shared" si="135"/>
        <v>4.15</v>
      </c>
      <c r="AO196" s="19"/>
      <c r="AP196" s="87"/>
      <c r="AQ196" s="235" t="s">
        <v>373</v>
      </c>
      <c r="AR196" s="446" t="s">
        <v>374</v>
      </c>
      <c r="AS196" s="446"/>
      <c r="AT196" s="29">
        <v>5</v>
      </c>
      <c r="AU196" s="214">
        <f aca="true" t="shared" si="181" ref="AU196:AU224">$AV$15</f>
        <v>0.0565</v>
      </c>
      <c r="AV196" s="269">
        <f aca="true" t="shared" si="182" ref="AV196:AV224">ROUND(AT196*AU196,2)</f>
        <v>0.28</v>
      </c>
      <c r="AW196" s="269">
        <f t="shared" si="136"/>
        <v>0</v>
      </c>
      <c r="AX196" s="198">
        <f aca="true" t="shared" si="183" ref="AX196:AX224">SUM(AV196:AW196)</f>
        <v>0.28</v>
      </c>
      <c r="AY196" s="190">
        <v>20</v>
      </c>
      <c r="AZ196" s="214">
        <f aca="true" t="shared" si="184" ref="AZ196:AZ224">$AV$18</f>
        <v>0.0445</v>
      </c>
      <c r="BA196" s="269">
        <f aca="true" t="shared" si="185" ref="BA196:BA224">ROUND(AY196*AZ196,2)</f>
        <v>0.89</v>
      </c>
      <c r="BB196" s="269">
        <f t="shared" si="137"/>
        <v>0</v>
      </c>
      <c r="BC196" s="198">
        <f aca="true" t="shared" si="186" ref="BC196:BC224">SUM(BA196:BB196)</f>
        <v>0.89</v>
      </c>
      <c r="BD196" s="199">
        <f aca="true" t="shared" si="187" ref="BD196:BD224">SUM(AX196,BC196)</f>
        <v>1.17</v>
      </c>
      <c r="BE196" s="235" t="s">
        <v>373</v>
      </c>
      <c r="BF196" s="446" t="s">
        <v>374</v>
      </c>
      <c r="BG196" s="446"/>
      <c r="BH196" s="22" t="s">
        <v>54</v>
      </c>
      <c r="BI196" s="200">
        <f t="shared" si="153"/>
        <v>1.17</v>
      </c>
      <c r="BJ196" s="200">
        <f t="shared" si="139"/>
        <v>0.12</v>
      </c>
      <c r="BK196" s="197">
        <f t="shared" si="154"/>
        <v>0.44</v>
      </c>
      <c r="BL196" s="197">
        <f t="shared" si="155"/>
        <v>0</v>
      </c>
      <c r="BM196" s="197">
        <f t="shared" si="156"/>
        <v>0.02</v>
      </c>
      <c r="BN196" s="201">
        <f t="shared" si="157"/>
        <v>1.28</v>
      </c>
      <c r="BO196" s="202">
        <f t="shared" si="158"/>
        <v>3.0300000000000002</v>
      </c>
      <c r="BP196" s="203">
        <f t="shared" si="145"/>
        <v>0.91</v>
      </c>
      <c r="BQ196" s="204">
        <f t="shared" si="159"/>
        <v>3.9400000000000004</v>
      </c>
      <c r="BR196" s="205">
        <f t="shared" si="147"/>
        <v>0.21</v>
      </c>
      <c r="BS196" s="206">
        <f t="shared" si="160"/>
        <v>4.15</v>
      </c>
      <c r="BT196" s="87"/>
    </row>
    <row r="197" spans="1:72" ht="20.25" customHeight="1">
      <c r="A197" s="87"/>
      <c r="B197" s="233" t="s">
        <v>377</v>
      </c>
      <c r="C197" s="234" t="s">
        <v>319</v>
      </c>
      <c r="D197" s="251"/>
      <c r="E197" s="255"/>
      <c r="F197" s="256"/>
      <c r="G197" s="253"/>
      <c r="H197" s="253"/>
      <c r="I197" s="254"/>
      <c r="J197" s="257"/>
      <c r="K197" s="255"/>
      <c r="L197" s="253"/>
      <c r="M197" s="253"/>
      <c r="N197" s="254"/>
      <c r="O197" s="220"/>
      <c r="P197" s="233" t="s">
        <v>377</v>
      </c>
      <c r="Q197" s="442" t="s">
        <v>319</v>
      </c>
      <c r="R197" s="442"/>
      <c r="S197" s="76"/>
      <c r="T197" s="219"/>
      <c r="U197" s="253"/>
      <c r="V197" s="253"/>
      <c r="W197" s="253"/>
      <c r="X197" s="253"/>
      <c r="Y197" s="253"/>
      <c r="Z197" s="253"/>
      <c r="AA197" s="253"/>
      <c r="AB197" s="253"/>
      <c r="AC197" s="253"/>
      <c r="AD197" s="253"/>
      <c r="AE197" s="220"/>
      <c r="AF197" s="87"/>
      <c r="AG197" s="233" t="s">
        <v>377</v>
      </c>
      <c r="AH197" s="442" t="s">
        <v>319</v>
      </c>
      <c r="AI197" s="442"/>
      <c r="AJ197" s="78"/>
      <c r="AK197" s="78"/>
      <c r="AL197" s="207"/>
      <c r="AM197" s="207"/>
      <c r="AN197" s="207"/>
      <c r="AO197" s="19"/>
      <c r="AP197" s="87"/>
      <c r="AQ197" s="233" t="s">
        <v>377</v>
      </c>
      <c r="AR197" s="442" t="s">
        <v>319</v>
      </c>
      <c r="AS197" s="442"/>
      <c r="AT197" s="29"/>
      <c r="AU197" s="256"/>
      <c r="AV197" s="254"/>
      <c r="AW197" s="254"/>
      <c r="AX197" s="254"/>
      <c r="AY197" s="255"/>
      <c r="AZ197" s="256"/>
      <c r="BA197" s="254"/>
      <c r="BB197" s="254"/>
      <c r="BC197" s="254"/>
      <c r="BD197" s="220"/>
      <c r="BE197" s="233" t="s">
        <v>377</v>
      </c>
      <c r="BF197" s="442" t="s">
        <v>319</v>
      </c>
      <c r="BG197" s="442"/>
      <c r="BH197" s="219"/>
      <c r="BI197" s="253"/>
      <c r="BJ197" s="253"/>
      <c r="BK197" s="253"/>
      <c r="BL197" s="253"/>
      <c r="BM197" s="253"/>
      <c r="BN197" s="253"/>
      <c r="BO197" s="253"/>
      <c r="BP197" s="253"/>
      <c r="BQ197" s="253"/>
      <c r="BR197" s="253"/>
      <c r="BS197" s="220"/>
      <c r="BT197" s="87"/>
    </row>
    <row r="198" spans="1:72" ht="27.75" customHeight="1">
      <c r="A198" s="87"/>
      <c r="B198" s="235" t="s">
        <v>378</v>
      </c>
      <c r="C198" s="236" t="s">
        <v>379</v>
      </c>
      <c r="D198" s="78" t="s">
        <v>53</v>
      </c>
      <c r="E198" s="190">
        <v>40</v>
      </c>
      <c r="F198" s="214">
        <f>$G$15</f>
        <v>0.0565</v>
      </c>
      <c r="G198" s="197">
        <f>ROUND(E198*F198,2)</f>
        <v>2.26</v>
      </c>
      <c r="H198" s="197">
        <f>ROUND(G198*($A$16+$A$17)/100,2)</f>
        <v>0</v>
      </c>
      <c r="I198" s="198">
        <f>SUM(G198:H198)</f>
        <v>2.26</v>
      </c>
      <c r="J198" s="257">
        <v>40</v>
      </c>
      <c r="K198" s="214">
        <f>$G$18</f>
        <v>0.0445</v>
      </c>
      <c r="L198" s="197">
        <f>ROUND(J198*K198,2)</f>
        <v>1.78</v>
      </c>
      <c r="M198" s="197">
        <f>ROUND(L198*($A$16+$A$17)/100,2)</f>
        <v>0</v>
      </c>
      <c r="N198" s="198">
        <f>SUM(L198:M198)</f>
        <v>1.78</v>
      </c>
      <c r="O198" s="199">
        <f>SUM(I198,N198)</f>
        <v>4.04</v>
      </c>
      <c r="P198" s="235" t="s">
        <v>378</v>
      </c>
      <c r="Q198" s="446" t="s">
        <v>379</v>
      </c>
      <c r="R198" s="446"/>
      <c r="S198" s="76"/>
      <c r="T198" s="22" t="s">
        <v>54</v>
      </c>
      <c r="U198" s="200">
        <f>O198</f>
        <v>4.04</v>
      </c>
      <c r="V198" s="200">
        <f>ROUND(U198*$S$19,2)</f>
        <v>0.42</v>
      </c>
      <c r="W198" s="197">
        <f>ROUND(SUM(U198:V198)*$AA$19,2)</f>
        <v>1.52</v>
      </c>
      <c r="X198" s="197">
        <f>ROUND(SUM(U198:V198)*$AA$21,2)</f>
        <v>0</v>
      </c>
      <c r="Y198" s="197">
        <f>ROUND(SUM(U198:V198)*$AA$20,2)</f>
        <v>0.07</v>
      </c>
      <c r="Z198" s="201">
        <f>ROUND(U198*$S$20,2)</f>
        <v>4.43</v>
      </c>
      <c r="AA198" s="202">
        <f>SUM(U198:Z198)</f>
        <v>10.48</v>
      </c>
      <c r="AB198" s="203">
        <f>ROUND(AA198*$S$21,2)</f>
        <v>3.14</v>
      </c>
      <c r="AC198" s="204">
        <f>SUM(AA198:AB198)</f>
        <v>13.620000000000001</v>
      </c>
      <c r="AD198" s="205">
        <f>ROUND(AC198*$AD$19/95,2)</f>
        <v>0.72</v>
      </c>
      <c r="AE198" s="206">
        <f>SUM(AC198:AD198)</f>
        <v>14.340000000000002</v>
      </c>
      <c r="AF198" s="87"/>
      <c r="AG198" s="235" t="s">
        <v>378</v>
      </c>
      <c r="AH198" s="446" t="s">
        <v>379</v>
      </c>
      <c r="AI198" s="446"/>
      <c r="AJ198" s="78" t="s">
        <v>54</v>
      </c>
      <c r="AK198" s="78"/>
      <c r="AL198" s="207">
        <f t="shared" si="134"/>
        <v>14.340000000000002</v>
      </c>
      <c r="AM198" s="207"/>
      <c r="AN198" s="207">
        <f t="shared" si="135"/>
        <v>11.569999999999999</v>
      </c>
      <c r="AO198" s="19"/>
      <c r="AP198" s="87"/>
      <c r="AQ198" s="235" t="s">
        <v>378</v>
      </c>
      <c r="AR198" s="446" t="s">
        <v>379</v>
      </c>
      <c r="AS198" s="446"/>
      <c r="AT198" s="29">
        <v>30</v>
      </c>
      <c r="AU198" s="214">
        <f t="shared" si="181"/>
        <v>0.0565</v>
      </c>
      <c r="AV198" s="269">
        <f t="shared" si="182"/>
        <v>1.7</v>
      </c>
      <c r="AW198" s="269">
        <f t="shared" si="136"/>
        <v>0</v>
      </c>
      <c r="AX198" s="198">
        <f t="shared" si="183"/>
        <v>1.7</v>
      </c>
      <c r="AY198" s="190">
        <v>35</v>
      </c>
      <c r="AZ198" s="214">
        <f t="shared" si="184"/>
        <v>0.0445</v>
      </c>
      <c r="BA198" s="269">
        <f t="shared" si="185"/>
        <v>1.56</v>
      </c>
      <c r="BB198" s="269">
        <f t="shared" si="137"/>
        <v>0</v>
      </c>
      <c r="BC198" s="198">
        <f t="shared" si="186"/>
        <v>1.56</v>
      </c>
      <c r="BD198" s="199">
        <f t="shared" si="187"/>
        <v>3.26</v>
      </c>
      <c r="BE198" s="235" t="s">
        <v>378</v>
      </c>
      <c r="BF198" s="446" t="s">
        <v>379</v>
      </c>
      <c r="BG198" s="446"/>
      <c r="BH198" s="22" t="s">
        <v>54</v>
      </c>
      <c r="BI198" s="200">
        <f t="shared" si="153"/>
        <v>3.26</v>
      </c>
      <c r="BJ198" s="200">
        <f t="shared" si="139"/>
        <v>0.34</v>
      </c>
      <c r="BK198" s="197">
        <f t="shared" si="154"/>
        <v>1.22</v>
      </c>
      <c r="BL198" s="197">
        <f t="shared" si="155"/>
        <v>0</v>
      </c>
      <c r="BM198" s="197">
        <f t="shared" si="156"/>
        <v>0.05</v>
      </c>
      <c r="BN198" s="201">
        <f t="shared" si="157"/>
        <v>3.58</v>
      </c>
      <c r="BO198" s="202">
        <f t="shared" si="158"/>
        <v>8.45</v>
      </c>
      <c r="BP198" s="203">
        <f t="shared" si="145"/>
        <v>2.54</v>
      </c>
      <c r="BQ198" s="204">
        <f t="shared" si="159"/>
        <v>10.989999999999998</v>
      </c>
      <c r="BR198" s="205">
        <f t="shared" si="147"/>
        <v>0.58</v>
      </c>
      <c r="BS198" s="206">
        <f t="shared" si="160"/>
        <v>11.569999999999999</v>
      </c>
      <c r="BT198" s="87"/>
    </row>
    <row r="199" spans="1:72" ht="21" customHeight="1">
      <c r="A199" s="87"/>
      <c r="B199" s="235" t="s">
        <v>382</v>
      </c>
      <c r="C199" s="236" t="s">
        <v>383</v>
      </c>
      <c r="D199" s="78" t="s">
        <v>53</v>
      </c>
      <c r="E199" s="190">
        <v>10</v>
      </c>
      <c r="F199" s="214">
        <f>$G$15</f>
        <v>0.0565</v>
      </c>
      <c r="G199" s="197">
        <f>ROUND(E199*F199,2)</f>
        <v>0.57</v>
      </c>
      <c r="H199" s="197">
        <f>ROUND(G199*($A$16+$A$17)/100,2)</f>
        <v>0</v>
      </c>
      <c r="I199" s="198">
        <f>SUM(G199:H199)</f>
        <v>0.57</v>
      </c>
      <c r="J199" s="257">
        <v>30</v>
      </c>
      <c r="K199" s="214">
        <f>$G$18</f>
        <v>0.0445</v>
      </c>
      <c r="L199" s="197">
        <f>ROUND(J199*K199,2)</f>
        <v>1.34</v>
      </c>
      <c r="M199" s="197">
        <f>ROUND(L199*($A$16+$A$17)/100,2)</f>
        <v>0</v>
      </c>
      <c r="N199" s="198">
        <f>SUM(L199:M199)</f>
        <v>1.34</v>
      </c>
      <c r="O199" s="199">
        <f>SUM(I199,N199)</f>
        <v>1.9100000000000001</v>
      </c>
      <c r="P199" s="235" t="s">
        <v>382</v>
      </c>
      <c r="Q199" s="446" t="s">
        <v>383</v>
      </c>
      <c r="R199" s="446"/>
      <c r="S199" s="76"/>
      <c r="T199" s="22" t="s">
        <v>54</v>
      </c>
      <c r="U199" s="200">
        <f>O199</f>
        <v>1.9100000000000001</v>
      </c>
      <c r="V199" s="200">
        <f>ROUND(U199*$S$19,2)</f>
        <v>0.2</v>
      </c>
      <c r="W199" s="197">
        <f>ROUND(SUM(U199:V199)*$AA$19,2)</f>
        <v>0.72</v>
      </c>
      <c r="X199" s="197">
        <f>ROUND(SUM(U199:V199)*$AA$21,2)</f>
        <v>0</v>
      </c>
      <c r="Y199" s="197">
        <f>ROUND(SUM(U199:V199)*$AA$20,2)</f>
        <v>0.03</v>
      </c>
      <c r="Z199" s="201">
        <f>ROUND(U199*$S$20,2)</f>
        <v>2.1</v>
      </c>
      <c r="AA199" s="202">
        <f>SUM(U199:Z199)</f>
        <v>4.96</v>
      </c>
      <c r="AB199" s="203">
        <f>ROUND(AA199*$S$21,2)</f>
        <v>1.49</v>
      </c>
      <c r="AC199" s="204">
        <f>SUM(AA199:AB199)</f>
        <v>6.45</v>
      </c>
      <c r="AD199" s="205">
        <f>ROUND(AC199*$AD$19/95,2)</f>
        <v>0.34</v>
      </c>
      <c r="AE199" s="206">
        <f>SUM(AC199:AD199)</f>
        <v>6.79</v>
      </c>
      <c r="AF199" s="87"/>
      <c r="AG199" s="235" t="s">
        <v>382</v>
      </c>
      <c r="AH199" s="446" t="s">
        <v>383</v>
      </c>
      <c r="AI199" s="446"/>
      <c r="AJ199" s="78" t="s">
        <v>54</v>
      </c>
      <c r="AK199" s="78"/>
      <c r="AL199" s="207">
        <f>AE199</f>
        <v>6.79</v>
      </c>
      <c r="AM199" s="207"/>
      <c r="AN199" s="207">
        <f>BS199</f>
        <v>4.15</v>
      </c>
      <c r="AO199" s="19"/>
      <c r="AP199" s="87"/>
      <c r="AQ199" s="235" t="s">
        <v>382</v>
      </c>
      <c r="AR199" s="446" t="s">
        <v>383</v>
      </c>
      <c r="AS199" s="446"/>
      <c r="AT199" s="29">
        <v>5</v>
      </c>
      <c r="AU199" s="214">
        <f t="shared" si="181"/>
        <v>0.0565</v>
      </c>
      <c r="AV199" s="269">
        <f t="shared" si="182"/>
        <v>0.28</v>
      </c>
      <c r="AW199" s="269">
        <f aca="true" t="shared" si="188" ref="AW199:AW224">ROUND(AV199*($A$16+$A$17)/100,2)</f>
        <v>0</v>
      </c>
      <c r="AX199" s="198">
        <f t="shared" si="183"/>
        <v>0.28</v>
      </c>
      <c r="AY199" s="190">
        <v>20</v>
      </c>
      <c r="AZ199" s="214">
        <f t="shared" si="184"/>
        <v>0.0445</v>
      </c>
      <c r="BA199" s="269">
        <f t="shared" si="185"/>
        <v>0.89</v>
      </c>
      <c r="BB199" s="269">
        <f aca="true" t="shared" si="189" ref="BB199:BB224">ROUND(BA199*($A$16+$A$17)/100,2)</f>
        <v>0</v>
      </c>
      <c r="BC199" s="198">
        <f t="shared" si="186"/>
        <v>0.89</v>
      </c>
      <c r="BD199" s="199">
        <f t="shared" si="187"/>
        <v>1.17</v>
      </c>
      <c r="BE199" s="235" t="s">
        <v>382</v>
      </c>
      <c r="BF199" s="446" t="s">
        <v>383</v>
      </c>
      <c r="BG199" s="446"/>
      <c r="BH199" s="22" t="s">
        <v>54</v>
      </c>
      <c r="BI199" s="200">
        <f t="shared" si="153"/>
        <v>1.17</v>
      </c>
      <c r="BJ199" s="200">
        <f t="shared" si="139"/>
        <v>0.12</v>
      </c>
      <c r="BK199" s="197">
        <f t="shared" si="154"/>
        <v>0.44</v>
      </c>
      <c r="BL199" s="197">
        <f t="shared" si="155"/>
        <v>0</v>
      </c>
      <c r="BM199" s="197">
        <f t="shared" si="156"/>
        <v>0.02</v>
      </c>
      <c r="BN199" s="201">
        <f t="shared" si="157"/>
        <v>1.28</v>
      </c>
      <c r="BO199" s="202">
        <f t="shared" si="158"/>
        <v>3.0300000000000002</v>
      </c>
      <c r="BP199" s="203">
        <f t="shared" si="145"/>
        <v>0.91</v>
      </c>
      <c r="BQ199" s="204">
        <f t="shared" si="159"/>
        <v>3.9400000000000004</v>
      </c>
      <c r="BR199" s="205">
        <f t="shared" si="147"/>
        <v>0.21</v>
      </c>
      <c r="BS199" s="206">
        <f t="shared" si="160"/>
        <v>4.15</v>
      </c>
      <c r="BT199" s="87"/>
    </row>
    <row r="200" spans="1:72" ht="12" customHeight="1">
      <c r="A200" s="85"/>
      <c r="B200" s="235" t="s">
        <v>959</v>
      </c>
      <c r="C200" s="282" t="s">
        <v>960</v>
      </c>
      <c r="D200" s="78" t="s">
        <v>53</v>
      </c>
      <c r="E200" s="190">
        <v>5</v>
      </c>
      <c r="F200" s="214">
        <f>$G$15</f>
        <v>0.0565</v>
      </c>
      <c r="G200" s="197">
        <f>ROUND(E200*F200,2)</f>
        <v>0.28</v>
      </c>
      <c r="H200" s="197">
        <f>ROUND(G200*($A$16+$A$17)/100,2)</f>
        <v>0</v>
      </c>
      <c r="I200" s="198">
        <f>SUM(G200:H200)</f>
        <v>0.28</v>
      </c>
      <c r="J200" s="257">
        <v>20</v>
      </c>
      <c r="K200" s="214">
        <f>$G$18</f>
        <v>0.0445</v>
      </c>
      <c r="L200" s="197">
        <f>ROUND(J200*K200,2)</f>
        <v>0.89</v>
      </c>
      <c r="M200" s="197">
        <f>ROUND(L200*($A$16+$A$17)/100,2)</f>
        <v>0</v>
      </c>
      <c r="N200" s="198">
        <f>SUM(L200:M200)</f>
        <v>0.89</v>
      </c>
      <c r="O200" s="199">
        <f>SUM(I200,N200)</f>
        <v>1.17</v>
      </c>
      <c r="P200" s="235" t="s">
        <v>959</v>
      </c>
      <c r="Q200" s="446" t="s">
        <v>960</v>
      </c>
      <c r="R200" s="446"/>
      <c r="S200" s="76"/>
      <c r="T200" s="22" t="s">
        <v>54</v>
      </c>
      <c r="U200" s="200">
        <f>O200</f>
        <v>1.17</v>
      </c>
      <c r="V200" s="200">
        <f>ROUND(U200*$S$19,2)</f>
        <v>0.12</v>
      </c>
      <c r="W200" s="197">
        <f>ROUND(SUM(U200:V200)*$AA$19,2)</f>
        <v>0.44</v>
      </c>
      <c r="X200" s="197">
        <f>ROUND(SUM(U200:V200)*$AA$21,2)</f>
        <v>0</v>
      </c>
      <c r="Y200" s="197">
        <f>ROUND(SUM(U200:V200)*$AA$20,2)</f>
        <v>0.02</v>
      </c>
      <c r="Z200" s="201">
        <f>ROUND(U200*$S$20,2)</f>
        <v>1.28</v>
      </c>
      <c r="AA200" s="202">
        <f>SUM(U200:Z200)</f>
        <v>3.0300000000000002</v>
      </c>
      <c r="AB200" s="203">
        <f>ROUND(AA200*$S$21,2)</f>
        <v>0.91</v>
      </c>
      <c r="AC200" s="204">
        <f>SUM(AA200:AB200)</f>
        <v>3.9400000000000004</v>
      </c>
      <c r="AD200" s="205">
        <f>ROUND(AC200*$AD$19/95,2)</f>
        <v>0.21</v>
      </c>
      <c r="AE200" s="206">
        <f>SUM(AC200:AD200)</f>
        <v>4.15</v>
      </c>
      <c r="AF200" s="85"/>
      <c r="AG200" s="235" t="s">
        <v>959</v>
      </c>
      <c r="AH200" s="446" t="s">
        <v>960</v>
      </c>
      <c r="AI200" s="446"/>
      <c r="AJ200" s="78"/>
      <c r="AK200" s="78"/>
      <c r="AL200" s="207">
        <f>AE200</f>
        <v>4.15</v>
      </c>
      <c r="AM200" s="207"/>
      <c r="AN200" s="207">
        <f>BS200</f>
        <v>3.15</v>
      </c>
      <c r="AO200" s="19"/>
      <c r="AP200" s="85"/>
      <c r="AQ200" s="235" t="s">
        <v>959</v>
      </c>
      <c r="AR200" s="446" t="s">
        <v>960</v>
      </c>
      <c r="AS200" s="446"/>
      <c r="AT200" s="29"/>
      <c r="AU200" s="214">
        <f t="shared" si="181"/>
        <v>0.0565</v>
      </c>
      <c r="AV200" s="269">
        <f t="shared" si="182"/>
        <v>0</v>
      </c>
      <c r="AW200" s="269">
        <f t="shared" si="188"/>
        <v>0</v>
      </c>
      <c r="AX200" s="198">
        <f t="shared" si="183"/>
        <v>0</v>
      </c>
      <c r="AY200" s="190">
        <v>20</v>
      </c>
      <c r="AZ200" s="214">
        <f t="shared" si="184"/>
        <v>0.0445</v>
      </c>
      <c r="BA200" s="269">
        <f t="shared" si="185"/>
        <v>0.89</v>
      </c>
      <c r="BB200" s="269">
        <f t="shared" si="189"/>
        <v>0</v>
      </c>
      <c r="BC200" s="198">
        <f t="shared" si="186"/>
        <v>0.89</v>
      </c>
      <c r="BD200" s="199">
        <f t="shared" si="187"/>
        <v>0.89</v>
      </c>
      <c r="BE200" s="235" t="s">
        <v>959</v>
      </c>
      <c r="BF200" s="446" t="s">
        <v>960</v>
      </c>
      <c r="BG200" s="446"/>
      <c r="BH200" s="22"/>
      <c r="BI200" s="200">
        <f t="shared" si="153"/>
        <v>0.89</v>
      </c>
      <c r="BJ200" s="200">
        <f>ROUND(BI200*$S$19,2)</f>
        <v>0.09</v>
      </c>
      <c r="BK200" s="197">
        <f t="shared" si="154"/>
        <v>0.33</v>
      </c>
      <c r="BL200" s="197">
        <f t="shared" si="155"/>
        <v>0</v>
      </c>
      <c r="BM200" s="197">
        <f t="shared" si="156"/>
        <v>0.01</v>
      </c>
      <c r="BN200" s="201">
        <f t="shared" si="157"/>
        <v>0.98</v>
      </c>
      <c r="BO200" s="202">
        <f t="shared" si="158"/>
        <v>2.3</v>
      </c>
      <c r="BP200" s="203">
        <f>ROUND(BO200*$S$21,2)</f>
        <v>0.69</v>
      </c>
      <c r="BQ200" s="204">
        <f t="shared" si="159"/>
        <v>2.9899999999999998</v>
      </c>
      <c r="BR200" s="205">
        <f>ROUND(BQ200*$AD$19/95,2)</f>
        <v>0.16</v>
      </c>
      <c r="BS200" s="206">
        <f t="shared" si="160"/>
        <v>3.15</v>
      </c>
      <c r="BT200" s="85"/>
    </row>
    <row r="201" spans="1:72" ht="18.75" customHeight="1">
      <c r="A201" s="85"/>
      <c r="B201" s="235" t="s">
        <v>394</v>
      </c>
      <c r="C201" s="236" t="s">
        <v>395</v>
      </c>
      <c r="D201" s="78" t="s">
        <v>53</v>
      </c>
      <c r="E201" s="190">
        <v>10</v>
      </c>
      <c r="F201" s="214">
        <f>$G$15</f>
        <v>0.0565</v>
      </c>
      <c r="G201" s="197">
        <f>ROUND(E201*F201,2)</f>
        <v>0.57</v>
      </c>
      <c r="H201" s="197">
        <f>ROUND(G201*($A$16+$A$17)/100,2)</f>
        <v>0</v>
      </c>
      <c r="I201" s="198">
        <f>SUM(G201:H201)</f>
        <v>0.57</v>
      </c>
      <c r="J201" s="257">
        <v>20</v>
      </c>
      <c r="K201" s="214">
        <f>$G$18</f>
        <v>0.0445</v>
      </c>
      <c r="L201" s="197">
        <f>ROUND(J201*K201,2)</f>
        <v>0.89</v>
      </c>
      <c r="M201" s="197">
        <f>ROUND(L201*($A$16+$A$17)/100,2)</f>
        <v>0</v>
      </c>
      <c r="N201" s="198">
        <f>SUM(L201:M201)</f>
        <v>0.89</v>
      </c>
      <c r="O201" s="199">
        <f>SUM(I201,N201)</f>
        <v>1.46</v>
      </c>
      <c r="P201" s="235" t="s">
        <v>394</v>
      </c>
      <c r="Q201" s="446" t="s">
        <v>395</v>
      </c>
      <c r="R201" s="446"/>
      <c r="S201" s="76"/>
      <c r="T201" s="22" t="s">
        <v>54</v>
      </c>
      <c r="U201" s="200">
        <f>O201</f>
        <v>1.46</v>
      </c>
      <c r="V201" s="200">
        <f>ROUND(U201*$S$19,2)</f>
        <v>0.15</v>
      </c>
      <c r="W201" s="197">
        <f>ROUND(SUM(U201:V201)*$AA$19,2)</f>
        <v>0.55</v>
      </c>
      <c r="X201" s="197">
        <f>ROUND(SUM(U201:V201)*$AA$21,2)</f>
        <v>0</v>
      </c>
      <c r="Y201" s="197">
        <f>ROUND(SUM(U201:V201)*$AA$20,2)</f>
        <v>0.02</v>
      </c>
      <c r="Z201" s="201">
        <f>ROUND(U201*$S$20,2)</f>
        <v>1.6</v>
      </c>
      <c r="AA201" s="202">
        <f>SUM(U201:Z201)</f>
        <v>3.7800000000000002</v>
      </c>
      <c r="AB201" s="203">
        <f>ROUND(AA201*$S$21,2)</f>
        <v>1.13</v>
      </c>
      <c r="AC201" s="204">
        <f>SUM(AA201:AB201)</f>
        <v>4.91</v>
      </c>
      <c r="AD201" s="205">
        <f>ROUND(AC201*$AD$19/95,2)</f>
        <v>0.26</v>
      </c>
      <c r="AE201" s="206">
        <f>SUM(AC201:AD201)</f>
        <v>5.17</v>
      </c>
      <c r="AF201" s="85"/>
      <c r="AG201" s="235" t="s">
        <v>394</v>
      </c>
      <c r="AH201" s="446" t="s">
        <v>395</v>
      </c>
      <c r="AI201" s="446"/>
      <c r="AJ201" s="78"/>
      <c r="AK201" s="78"/>
      <c r="AL201" s="207">
        <f>AE201</f>
        <v>5.17</v>
      </c>
      <c r="AM201" s="207"/>
      <c r="AN201" s="207">
        <f>BS201</f>
        <v>5.17</v>
      </c>
      <c r="AO201" s="19"/>
      <c r="AP201" s="85"/>
      <c r="AQ201" s="235" t="s">
        <v>394</v>
      </c>
      <c r="AR201" s="446" t="s">
        <v>395</v>
      </c>
      <c r="AS201" s="446"/>
      <c r="AT201" s="29">
        <v>10</v>
      </c>
      <c r="AU201" s="214">
        <f t="shared" si="181"/>
        <v>0.0565</v>
      </c>
      <c r="AV201" s="269">
        <f t="shared" si="182"/>
        <v>0.57</v>
      </c>
      <c r="AW201" s="269">
        <f t="shared" si="188"/>
        <v>0</v>
      </c>
      <c r="AX201" s="198">
        <f t="shared" si="183"/>
        <v>0.57</v>
      </c>
      <c r="AY201" s="190">
        <v>20</v>
      </c>
      <c r="AZ201" s="214">
        <f t="shared" si="184"/>
        <v>0.0445</v>
      </c>
      <c r="BA201" s="269">
        <f t="shared" si="185"/>
        <v>0.89</v>
      </c>
      <c r="BB201" s="269">
        <f t="shared" si="189"/>
        <v>0</v>
      </c>
      <c r="BC201" s="198">
        <f t="shared" si="186"/>
        <v>0.89</v>
      </c>
      <c r="BD201" s="199">
        <f t="shared" si="187"/>
        <v>1.46</v>
      </c>
      <c r="BE201" s="235" t="s">
        <v>394</v>
      </c>
      <c r="BF201" s="446" t="s">
        <v>395</v>
      </c>
      <c r="BG201" s="446"/>
      <c r="BH201" s="22"/>
      <c r="BI201" s="200">
        <f t="shared" si="153"/>
        <v>1.46</v>
      </c>
      <c r="BJ201" s="200">
        <f>ROUND(BI201*$S$19,2)</f>
        <v>0.15</v>
      </c>
      <c r="BK201" s="197">
        <f t="shared" si="154"/>
        <v>0.55</v>
      </c>
      <c r="BL201" s="197">
        <f t="shared" si="155"/>
        <v>0</v>
      </c>
      <c r="BM201" s="197">
        <f t="shared" si="156"/>
        <v>0.02</v>
      </c>
      <c r="BN201" s="201">
        <f t="shared" si="157"/>
        <v>1.6</v>
      </c>
      <c r="BO201" s="202">
        <f t="shared" si="158"/>
        <v>3.7800000000000002</v>
      </c>
      <c r="BP201" s="203">
        <f>ROUND(BO201*$S$21,2)</f>
        <v>1.13</v>
      </c>
      <c r="BQ201" s="204">
        <f t="shared" si="159"/>
        <v>4.91</v>
      </c>
      <c r="BR201" s="205">
        <f>ROUND(BQ201*$AD$19/95,2)</f>
        <v>0.26</v>
      </c>
      <c r="BS201" s="206">
        <f t="shared" si="160"/>
        <v>5.17</v>
      </c>
      <c r="BT201" s="85"/>
    </row>
    <row r="202" spans="1:72" ht="18.75" customHeight="1">
      <c r="A202" s="87"/>
      <c r="B202" s="233" t="s">
        <v>396</v>
      </c>
      <c r="C202" s="234" t="s">
        <v>397</v>
      </c>
      <c r="D202" s="251"/>
      <c r="E202" s="255"/>
      <c r="F202" s="256"/>
      <c r="G202" s="253"/>
      <c r="H202" s="253"/>
      <c r="I202" s="254"/>
      <c r="J202" s="257"/>
      <c r="K202" s="255"/>
      <c r="L202" s="253"/>
      <c r="M202" s="253"/>
      <c r="N202" s="254"/>
      <c r="O202" s="220"/>
      <c r="P202" s="233" t="s">
        <v>396</v>
      </c>
      <c r="Q202" s="442" t="s">
        <v>397</v>
      </c>
      <c r="R202" s="442"/>
      <c r="S202" s="76"/>
      <c r="T202" s="219"/>
      <c r="U202" s="253"/>
      <c r="V202" s="253"/>
      <c r="W202" s="253"/>
      <c r="X202" s="253"/>
      <c r="Y202" s="253"/>
      <c r="Z202" s="253"/>
      <c r="AA202" s="253"/>
      <c r="AB202" s="253"/>
      <c r="AC202" s="253"/>
      <c r="AD202" s="253"/>
      <c r="AE202" s="220"/>
      <c r="AF202" s="87"/>
      <c r="AG202" s="233" t="s">
        <v>396</v>
      </c>
      <c r="AH202" s="442" t="s">
        <v>397</v>
      </c>
      <c r="AI202" s="442"/>
      <c r="AJ202" s="78"/>
      <c r="AK202" s="78"/>
      <c r="AL202" s="207"/>
      <c r="AM202" s="207"/>
      <c r="AN202" s="207"/>
      <c r="AO202" s="19"/>
      <c r="AP202" s="87"/>
      <c r="AQ202" s="233" t="s">
        <v>396</v>
      </c>
      <c r="AR202" s="442" t="s">
        <v>397</v>
      </c>
      <c r="AS202" s="442"/>
      <c r="AT202" s="29"/>
      <c r="AU202" s="256"/>
      <c r="AV202" s="254"/>
      <c r="AW202" s="254"/>
      <c r="AX202" s="254"/>
      <c r="AY202" s="255"/>
      <c r="AZ202" s="256"/>
      <c r="BA202" s="254"/>
      <c r="BB202" s="254"/>
      <c r="BC202" s="254"/>
      <c r="BD202" s="220"/>
      <c r="BE202" s="233" t="s">
        <v>396</v>
      </c>
      <c r="BF202" s="442" t="s">
        <v>397</v>
      </c>
      <c r="BG202" s="442"/>
      <c r="BH202" s="219"/>
      <c r="BI202" s="253"/>
      <c r="BJ202" s="253"/>
      <c r="BK202" s="253"/>
      <c r="BL202" s="253"/>
      <c r="BM202" s="253"/>
      <c r="BN202" s="253"/>
      <c r="BO202" s="253"/>
      <c r="BP202" s="253"/>
      <c r="BQ202" s="253"/>
      <c r="BR202" s="253"/>
      <c r="BS202" s="220"/>
      <c r="BT202" s="87"/>
    </row>
    <row r="203" spans="1:72" ht="18.75" customHeight="1">
      <c r="A203" s="87"/>
      <c r="B203" s="235" t="s">
        <v>398</v>
      </c>
      <c r="C203" s="236" t="s">
        <v>399</v>
      </c>
      <c r="D203" s="78" t="s">
        <v>53</v>
      </c>
      <c r="E203" s="190">
        <v>15</v>
      </c>
      <c r="F203" s="214">
        <f>$G$15</f>
        <v>0.0565</v>
      </c>
      <c r="G203" s="197">
        <f>ROUND(E203*F203,2)</f>
        <v>0.85</v>
      </c>
      <c r="H203" s="197">
        <f>ROUND(G203*($A$16+$A$17)/100,2)</f>
        <v>0</v>
      </c>
      <c r="I203" s="198">
        <f>SUM(G203:H203)</f>
        <v>0.85</v>
      </c>
      <c r="J203" s="257">
        <v>50</v>
      </c>
      <c r="K203" s="214">
        <f>$G$18</f>
        <v>0.0445</v>
      </c>
      <c r="L203" s="197">
        <f>ROUND(J203*K203,2)</f>
        <v>2.23</v>
      </c>
      <c r="M203" s="197">
        <f>ROUND(L203*($A$16+$A$17)/100,2)</f>
        <v>0</v>
      </c>
      <c r="N203" s="198">
        <f>SUM(L203:M203)</f>
        <v>2.23</v>
      </c>
      <c r="O203" s="199">
        <f>SUM(I203,N203)</f>
        <v>3.08</v>
      </c>
      <c r="P203" s="235" t="s">
        <v>398</v>
      </c>
      <c r="Q203" s="446" t="s">
        <v>399</v>
      </c>
      <c r="R203" s="446"/>
      <c r="S203" s="76"/>
      <c r="T203" s="22" t="s">
        <v>54</v>
      </c>
      <c r="U203" s="200">
        <f>O203</f>
        <v>3.08</v>
      </c>
      <c r="V203" s="200">
        <f>ROUND(U203*$S$19,2)</f>
        <v>0.32</v>
      </c>
      <c r="W203" s="197">
        <f>ROUND(SUM(U203:V203)*$AA$19,2)</f>
        <v>1.16</v>
      </c>
      <c r="X203" s="197">
        <f>ROUND(SUM(U203:V203)*$AA$21,2)</f>
        <v>0</v>
      </c>
      <c r="Y203" s="197">
        <f>ROUND(SUM(U203:V203)*$AA$20,2)</f>
        <v>0.05</v>
      </c>
      <c r="Z203" s="201">
        <f>ROUND(U203*$S$20,2)</f>
        <v>3.38</v>
      </c>
      <c r="AA203" s="202">
        <f>SUM(U203:Z203)</f>
        <v>7.989999999999999</v>
      </c>
      <c r="AB203" s="203">
        <f>ROUND(AA203*$S$21,2)</f>
        <v>2.4</v>
      </c>
      <c r="AC203" s="204">
        <f>SUM(AA203:AB203)</f>
        <v>10.389999999999999</v>
      </c>
      <c r="AD203" s="205">
        <f>ROUND(AC203*$AD$19/95,2)</f>
        <v>0.55</v>
      </c>
      <c r="AE203" s="206">
        <f>SUM(AC203:AD203)</f>
        <v>10.94</v>
      </c>
      <c r="AF203" s="87"/>
      <c r="AG203" s="235" t="s">
        <v>398</v>
      </c>
      <c r="AH203" s="446" t="s">
        <v>399</v>
      </c>
      <c r="AI203" s="446"/>
      <c r="AJ203" s="78" t="s">
        <v>54</v>
      </c>
      <c r="AK203" s="78"/>
      <c r="AL203" s="207">
        <f>AE203</f>
        <v>10.94</v>
      </c>
      <c r="AM203" s="207"/>
      <c r="AN203" s="207">
        <f>BS203</f>
        <v>10.94</v>
      </c>
      <c r="AO203" s="19"/>
      <c r="AP203" s="87"/>
      <c r="AQ203" s="235" t="s">
        <v>398</v>
      </c>
      <c r="AR203" s="446" t="s">
        <v>399</v>
      </c>
      <c r="AS203" s="446"/>
      <c r="AT203" s="29">
        <v>15</v>
      </c>
      <c r="AU203" s="214">
        <f t="shared" si="181"/>
        <v>0.0565</v>
      </c>
      <c r="AV203" s="269">
        <f t="shared" si="182"/>
        <v>0.85</v>
      </c>
      <c r="AW203" s="269">
        <f t="shared" si="188"/>
        <v>0</v>
      </c>
      <c r="AX203" s="198">
        <f t="shared" si="183"/>
        <v>0.85</v>
      </c>
      <c r="AY203" s="190">
        <v>50</v>
      </c>
      <c r="AZ203" s="214">
        <f t="shared" si="184"/>
        <v>0.0445</v>
      </c>
      <c r="BA203" s="269">
        <f t="shared" si="185"/>
        <v>2.23</v>
      </c>
      <c r="BB203" s="269">
        <f t="shared" si="189"/>
        <v>0</v>
      </c>
      <c r="BC203" s="198">
        <f t="shared" si="186"/>
        <v>2.23</v>
      </c>
      <c r="BD203" s="199">
        <f t="shared" si="187"/>
        <v>3.08</v>
      </c>
      <c r="BE203" s="235" t="s">
        <v>398</v>
      </c>
      <c r="BF203" s="446" t="s">
        <v>399</v>
      </c>
      <c r="BG203" s="446"/>
      <c r="BH203" s="22" t="s">
        <v>54</v>
      </c>
      <c r="BI203" s="200">
        <f t="shared" si="153"/>
        <v>3.08</v>
      </c>
      <c r="BJ203" s="200">
        <f>ROUND(BI203*$S$19,2)</f>
        <v>0.32</v>
      </c>
      <c r="BK203" s="197">
        <f t="shared" si="154"/>
        <v>1.16</v>
      </c>
      <c r="BL203" s="197">
        <f t="shared" si="155"/>
        <v>0</v>
      </c>
      <c r="BM203" s="197">
        <f t="shared" si="156"/>
        <v>0.05</v>
      </c>
      <c r="BN203" s="201">
        <f t="shared" si="157"/>
        <v>3.38</v>
      </c>
      <c r="BO203" s="202">
        <f t="shared" si="158"/>
        <v>7.989999999999999</v>
      </c>
      <c r="BP203" s="203">
        <f>ROUND(BO203*$S$21,2)</f>
        <v>2.4</v>
      </c>
      <c r="BQ203" s="204">
        <f t="shared" si="159"/>
        <v>10.389999999999999</v>
      </c>
      <c r="BR203" s="205">
        <f>ROUND(BQ203*$AD$19/95,2)</f>
        <v>0.55</v>
      </c>
      <c r="BS203" s="206">
        <f t="shared" si="160"/>
        <v>10.94</v>
      </c>
      <c r="BT203" s="87"/>
    </row>
    <row r="204" spans="1:72" ht="16.5" customHeight="1">
      <c r="A204" s="87"/>
      <c r="B204" s="235" t="s">
        <v>400</v>
      </c>
      <c r="C204" s="236" t="s">
        <v>401</v>
      </c>
      <c r="D204" s="78" t="s">
        <v>53</v>
      </c>
      <c r="E204" s="190">
        <v>20</v>
      </c>
      <c r="F204" s="214">
        <f>$G$15</f>
        <v>0.0565</v>
      </c>
      <c r="G204" s="197">
        <f>ROUND(E204*F204,2)</f>
        <v>1.13</v>
      </c>
      <c r="H204" s="197">
        <f>ROUND(G204*($A$16+$A$17)/100,2)</f>
        <v>0</v>
      </c>
      <c r="I204" s="198">
        <f>SUM(G204:H204)</f>
        <v>1.13</v>
      </c>
      <c r="J204" s="257">
        <v>20</v>
      </c>
      <c r="K204" s="214">
        <f>$G$18</f>
        <v>0.0445</v>
      </c>
      <c r="L204" s="197">
        <f>ROUND(J204*K204,2)</f>
        <v>0.89</v>
      </c>
      <c r="M204" s="197">
        <f>ROUND(L204*($A$16+$A$17)/100,2)</f>
        <v>0</v>
      </c>
      <c r="N204" s="198">
        <f>SUM(L204:M204)</f>
        <v>0.89</v>
      </c>
      <c r="O204" s="199">
        <f>SUM(I204,N204)</f>
        <v>2.02</v>
      </c>
      <c r="P204" s="235" t="s">
        <v>400</v>
      </c>
      <c r="Q204" s="446" t="s">
        <v>401</v>
      </c>
      <c r="R204" s="446"/>
      <c r="S204" s="76"/>
      <c r="T204" s="22" t="s">
        <v>54</v>
      </c>
      <c r="U204" s="200">
        <f>O204</f>
        <v>2.02</v>
      </c>
      <c r="V204" s="200">
        <f>ROUND(U204*$S$19,2)</f>
        <v>0.21</v>
      </c>
      <c r="W204" s="197">
        <f>ROUND(SUM(U204:V204)*$AA$19,2)</f>
        <v>0.76</v>
      </c>
      <c r="X204" s="197">
        <f>ROUND(SUM(U204:V204)*$AA$21,2)</f>
        <v>0</v>
      </c>
      <c r="Y204" s="197">
        <f>ROUND(SUM(U204:V204)*$AA$20,2)</f>
        <v>0.03</v>
      </c>
      <c r="Z204" s="201">
        <f>ROUND(U204*$S$20,2)</f>
        <v>2.22</v>
      </c>
      <c r="AA204" s="202">
        <f>SUM(U204:Z204)</f>
        <v>5.24</v>
      </c>
      <c r="AB204" s="203">
        <f>ROUND(AA204*$S$21,2)</f>
        <v>1.57</v>
      </c>
      <c r="AC204" s="204">
        <f>SUM(AA204:AB204)</f>
        <v>6.8100000000000005</v>
      </c>
      <c r="AD204" s="205">
        <f>ROUND(AC204*$AD$19/95,2)</f>
        <v>0.36</v>
      </c>
      <c r="AE204" s="206">
        <f>SUM(AC204:AD204)</f>
        <v>7.170000000000001</v>
      </c>
      <c r="AF204" s="87"/>
      <c r="AG204" s="235" t="s">
        <v>400</v>
      </c>
      <c r="AH204" s="446" t="s">
        <v>401</v>
      </c>
      <c r="AI204" s="446"/>
      <c r="AJ204" s="78"/>
      <c r="AK204" s="78"/>
      <c r="AL204" s="207">
        <f>AE204</f>
        <v>7.170000000000001</v>
      </c>
      <c r="AM204" s="207"/>
      <c r="AN204" s="207">
        <f>BS204</f>
        <v>6.4</v>
      </c>
      <c r="AO204" s="19"/>
      <c r="AP204" s="87"/>
      <c r="AQ204" s="235" t="s">
        <v>400</v>
      </c>
      <c r="AR204" s="446" t="s">
        <v>401</v>
      </c>
      <c r="AS204" s="446"/>
      <c r="AT204" s="29">
        <v>20</v>
      </c>
      <c r="AU204" s="214">
        <f t="shared" si="181"/>
        <v>0.0565</v>
      </c>
      <c r="AV204" s="269">
        <f t="shared" si="182"/>
        <v>1.13</v>
      </c>
      <c r="AW204" s="269">
        <f t="shared" si="188"/>
        <v>0</v>
      </c>
      <c r="AX204" s="198">
        <f t="shared" si="183"/>
        <v>1.13</v>
      </c>
      <c r="AY204" s="190">
        <v>15</v>
      </c>
      <c r="AZ204" s="214">
        <f t="shared" si="184"/>
        <v>0.0445</v>
      </c>
      <c r="BA204" s="269">
        <f t="shared" si="185"/>
        <v>0.67</v>
      </c>
      <c r="BB204" s="269">
        <f t="shared" si="189"/>
        <v>0</v>
      </c>
      <c r="BC204" s="198">
        <f t="shared" si="186"/>
        <v>0.67</v>
      </c>
      <c r="BD204" s="199">
        <f t="shared" si="187"/>
        <v>1.7999999999999998</v>
      </c>
      <c r="BE204" s="235" t="s">
        <v>400</v>
      </c>
      <c r="BF204" s="446" t="s">
        <v>401</v>
      </c>
      <c r="BG204" s="446"/>
      <c r="BH204" s="22"/>
      <c r="BI204" s="200">
        <f t="shared" si="153"/>
        <v>1.7999999999999998</v>
      </c>
      <c r="BJ204" s="200">
        <f>ROUND(BI204*$S$19,2)</f>
        <v>0.19</v>
      </c>
      <c r="BK204" s="197">
        <f t="shared" si="154"/>
        <v>0.68</v>
      </c>
      <c r="BL204" s="197">
        <f t="shared" si="155"/>
        <v>0</v>
      </c>
      <c r="BM204" s="197">
        <f t="shared" si="156"/>
        <v>0.03</v>
      </c>
      <c r="BN204" s="201">
        <f t="shared" si="157"/>
        <v>1.98</v>
      </c>
      <c r="BO204" s="202">
        <f t="shared" si="158"/>
        <v>4.68</v>
      </c>
      <c r="BP204" s="203">
        <f>ROUND(BO204*$S$21,2)</f>
        <v>1.4</v>
      </c>
      <c r="BQ204" s="204">
        <f t="shared" si="159"/>
        <v>6.08</v>
      </c>
      <c r="BR204" s="205">
        <f>ROUND(BQ204*$AD$19/95,2)</f>
        <v>0.32</v>
      </c>
      <c r="BS204" s="206">
        <f t="shared" si="160"/>
        <v>6.4</v>
      </c>
      <c r="BT204" s="87"/>
    </row>
    <row r="205" spans="1:72" ht="16.5" customHeight="1">
      <c r="A205" s="84"/>
      <c r="B205" s="233" t="s">
        <v>402</v>
      </c>
      <c r="C205" s="234" t="s">
        <v>403</v>
      </c>
      <c r="D205" s="251"/>
      <c r="E205" s="255"/>
      <c r="F205" s="256"/>
      <c r="G205" s="253"/>
      <c r="H205" s="253"/>
      <c r="I205" s="254"/>
      <c r="J205" s="257"/>
      <c r="K205" s="255"/>
      <c r="L205" s="253"/>
      <c r="M205" s="253"/>
      <c r="N205" s="254"/>
      <c r="O205" s="220"/>
      <c r="P205" s="233" t="s">
        <v>402</v>
      </c>
      <c r="Q205" s="442" t="s">
        <v>403</v>
      </c>
      <c r="R205" s="442"/>
      <c r="S205" s="76"/>
      <c r="T205" s="22"/>
      <c r="U205" s="253"/>
      <c r="V205" s="253"/>
      <c r="W205" s="253"/>
      <c r="X205" s="253"/>
      <c r="Y205" s="253"/>
      <c r="Z205" s="253"/>
      <c r="AA205" s="253"/>
      <c r="AB205" s="253"/>
      <c r="AC205" s="253"/>
      <c r="AD205" s="253"/>
      <c r="AE205" s="220"/>
      <c r="AF205" s="84"/>
      <c r="AG205" s="233" t="s">
        <v>402</v>
      </c>
      <c r="AH205" s="442" t="s">
        <v>403</v>
      </c>
      <c r="AI205" s="442"/>
      <c r="AJ205" s="78"/>
      <c r="AK205" s="78"/>
      <c r="AL205" s="207"/>
      <c r="AM205" s="207"/>
      <c r="AN205" s="207"/>
      <c r="AO205" s="19"/>
      <c r="AP205" s="84"/>
      <c r="AQ205" s="233" t="s">
        <v>402</v>
      </c>
      <c r="AR205" s="442" t="s">
        <v>403</v>
      </c>
      <c r="AS205" s="442"/>
      <c r="AT205" s="29"/>
      <c r="AU205" s="256"/>
      <c r="AV205" s="254"/>
      <c r="AW205" s="254"/>
      <c r="AX205" s="254"/>
      <c r="AY205" s="255"/>
      <c r="AZ205" s="256"/>
      <c r="BA205" s="254"/>
      <c r="BB205" s="254"/>
      <c r="BC205" s="254"/>
      <c r="BD205" s="220"/>
      <c r="BE205" s="233" t="s">
        <v>402</v>
      </c>
      <c r="BF205" s="442" t="s">
        <v>403</v>
      </c>
      <c r="BG205" s="442"/>
      <c r="BH205" s="219"/>
      <c r="BI205" s="253"/>
      <c r="BJ205" s="253"/>
      <c r="BK205" s="253"/>
      <c r="BL205" s="253"/>
      <c r="BM205" s="253"/>
      <c r="BN205" s="253"/>
      <c r="BO205" s="253"/>
      <c r="BP205" s="253"/>
      <c r="BQ205" s="253"/>
      <c r="BR205" s="253"/>
      <c r="BS205" s="220"/>
      <c r="BT205" s="84"/>
    </row>
    <row r="206" spans="1:72" ht="38.25" customHeight="1">
      <c r="A206" s="84"/>
      <c r="B206" s="235" t="s">
        <v>404</v>
      </c>
      <c r="C206" s="236" t="s">
        <v>405</v>
      </c>
      <c r="D206" s="78" t="s">
        <v>53</v>
      </c>
      <c r="E206" s="190">
        <v>25</v>
      </c>
      <c r="F206" s="214">
        <f>$G$15</f>
        <v>0.0565</v>
      </c>
      <c r="G206" s="197">
        <f>ROUND(E206*F206,2)</f>
        <v>1.41</v>
      </c>
      <c r="H206" s="197">
        <f>ROUND(G206*($A$16+$A$17)/100,2)</f>
        <v>0</v>
      </c>
      <c r="I206" s="198">
        <f>SUM(G206:H206)</f>
        <v>1.41</v>
      </c>
      <c r="J206" s="257">
        <v>25</v>
      </c>
      <c r="K206" s="214">
        <f>$G$18</f>
        <v>0.0445</v>
      </c>
      <c r="L206" s="197">
        <f>ROUND(J206*K206,2)</f>
        <v>1.11</v>
      </c>
      <c r="M206" s="197">
        <f>ROUND(L206*($A$16+$A$17)/100,2)</f>
        <v>0</v>
      </c>
      <c r="N206" s="198">
        <f>SUM(L206:M206)</f>
        <v>1.11</v>
      </c>
      <c r="O206" s="199">
        <f>SUM(I206,N206)</f>
        <v>2.52</v>
      </c>
      <c r="P206" s="235" t="s">
        <v>404</v>
      </c>
      <c r="Q206" s="446" t="s">
        <v>405</v>
      </c>
      <c r="R206" s="446"/>
      <c r="S206" s="76"/>
      <c r="T206" s="22" t="s">
        <v>54</v>
      </c>
      <c r="U206" s="200">
        <f>O206</f>
        <v>2.52</v>
      </c>
      <c r="V206" s="200">
        <f>ROUND(U206*$S$19,2)</f>
        <v>0.26</v>
      </c>
      <c r="W206" s="197">
        <f>ROUND(SUM(U206:V206)*$AA$19,2)</f>
        <v>0.95</v>
      </c>
      <c r="X206" s="197">
        <f>ROUND(SUM(U206:V206)*$AA$21,2)</f>
        <v>0</v>
      </c>
      <c r="Y206" s="197">
        <f>ROUND(SUM(U206:V206)*$AA$20,2)</f>
        <v>0.04</v>
      </c>
      <c r="Z206" s="201">
        <f>ROUND(U206*$S$20,2)</f>
        <v>2.77</v>
      </c>
      <c r="AA206" s="202">
        <f>SUM(U206:Z206)</f>
        <v>6.540000000000001</v>
      </c>
      <c r="AB206" s="203">
        <f>ROUND(AA206*$S$21,2)</f>
        <v>1.96</v>
      </c>
      <c r="AC206" s="204">
        <f>SUM(AA206:AB206)</f>
        <v>8.5</v>
      </c>
      <c r="AD206" s="205">
        <f>ROUND(AC206*$AD$19/95,2)</f>
        <v>0.45</v>
      </c>
      <c r="AE206" s="206">
        <f>SUM(AC206:AD206)</f>
        <v>8.95</v>
      </c>
      <c r="AF206" s="84"/>
      <c r="AG206" s="235" t="s">
        <v>404</v>
      </c>
      <c r="AH206" s="446" t="s">
        <v>405</v>
      </c>
      <c r="AI206" s="446"/>
      <c r="AJ206" s="78"/>
      <c r="AK206" s="78"/>
      <c r="AL206" s="207">
        <f>AE206</f>
        <v>8.95</v>
      </c>
      <c r="AM206" s="207"/>
      <c r="AN206" s="207">
        <f>BS206</f>
        <v>8.95</v>
      </c>
      <c r="AO206" s="19"/>
      <c r="AP206" s="84"/>
      <c r="AQ206" s="235" t="s">
        <v>404</v>
      </c>
      <c r="AR206" s="446" t="s">
        <v>405</v>
      </c>
      <c r="AS206" s="446"/>
      <c r="AT206" s="29">
        <v>25</v>
      </c>
      <c r="AU206" s="214">
        <f t="shared" si="181"/>
        <v>0.0565</v>
      </c>
      <c r="AV206" s="269">
        <f t="shared" si="182"/>
        <v>1.41</v>
      </c>
      <c r="AW206" s="269">
        <f t="shared" si="188"/>
        <v>0</v>
      </c>
      <c r="AX206" s="198">
        <f t="shared" si="183"/>
        <v>1.41</v>
      </c>
      <c r="AY206" s="190">
        <v>25</v>
      </c>
      <c r="AZ206" s="214">
        <f t="shared" si="184"/>
        <v>0.0445</v>
      </c>
      <c r="BA206" s="269">
        <f t="shared" si="185"/>
        <v>1.11</v>
      </c>
      <c r="BB206" s="269">
        <f t="shared" si="189"/>
        <v>0</v>
      </c>
      <c r="BC206" s="198">
        <f t="shared" si="186"/>
        <v>1.11</v>
      </c>
      <c r="BD206" s="199">
        <f t="shared" si="187"/>
        <v>2.52</v>
      </c>
      <c r="BE206" s="235" t="s">
        <v>404</v>
      </c>
      <c r="BF206" s="446" t="s">
        <v>405</v>
      </c>
      <c r="BG206" s="446"/>
      <c r="BH206" s="22"/>
      <c r="BI206" s="200">
        <f t="shared" si="153"/>
        <v>2.52</v>
      </c>
      <c r="BJ206" s="200">
        <f>ROUND(BI206*$S$19,2)</f>
        <v>0.26</v>
      </c>
      <c r="BK206" s="197">
        <f t="shared" si="154"/>
        <v>0.95</v>
      </c>
      <c r="BL206" s="197">
        <f t="shared" si="155"/>
        <v>0</v>
      </c>
      <c r="BM206" s="197">
        <f t="shared" si="156"/>
        <v>0.04</v>
      </c>
      <c r="BN206" s="201">
        <f t="shared" si="157"/>
        <v>2.77</v>
      </c>
      <c r="BO206" s="202">
        <f t="shared" si="158"/>
        <v>6.540000000000001</v>
      </c>
      <c r="BP206" s="203">
        <f>ROUND(BO206*$S$21,2)</f>
        <v>1.96</v>
      </c>
      <c r="BQ206" s="204">
        <f t="shared" si="159"/>
        <v>8.5</v>
      </c>
      <c r="BR206" s="205">
        <f>ROUND(BQ206*$AD$19/95,2)</f>
        <v>0.45</v>
      </c>
      <c r="BS206" s="206">
        <f t="shared" si="160"/>
        <v>8.95</v>
      </c>
      <c r="BT206" s="84"/>
    </row>
    <row r="207" spans="1:72" ht="28.5" customHeight="1">
      <c r="A207" s="84"/>
      <c r="B207" s="235" t="s">
        <v>406</v>
      </c>
      <c r="C207" s="236" t="s">
        <v>407</v>
      </c>
      <c r="D207" s="78" t="s">
        <v>53</v>
      </c>
      <c r="E207" s="190">
        <v>15</v>
      </c>
      <c r="F207" s="214">
        <f>$G$15</f>
        <v>0.0565</v>
      </c>
      <c r="G207" s="197">
        <f>ROUND(E207*F207,2)</f>
        <v>0.85</v>
      </c>
      <c r="H207" s="197">
        <f>ROUND(G207*($A$16+$A$17)/100,2)</f>
        <v>0</v>
      </c>
      <c r="I207" s="198">
        <f>SUM(G207:H207)</f>
        <v>0.85</v>
      </c>
      <c r="J207" s="257">
        <v>15</v>
      </c>
      <c r="K207" s="214">
        <f>$G$18</f>
        <v>0.0445</v>
      </c>
      <c r="L207" s="197">
        <f>ROUND(J207*K207,2)</f>
        <v>0.67</v>
      </c>
      <c r="M207" s="197">
        <f>ROUND(L207*($A$16+$A$17)/100,2)</f>
        <v>0</v>
      </c>
      <c r="N207" s="198">
        <f>SUM(L207:M207)</f>
        <v>0.67</v>
      </c>
      <c r="O207" s="199">
        <f>SUM(I207,N207)</f>
        <v>1.52</v>
      </c>
      <c r="P207" s="235" t="s">
        <v>406</v>
      </c>
      <c r="Q207" s="446" t="s">
        <v>407</v>
      </c>
      <c r="R207" s="446"/>
      <c r="S207" s="76"/>
      <c r="T207" s="22" t="s">
        <v>54</v>
      </c>
      <c r="U207" s="200">
        <f>O207</f>
        <v>1.52</v>
      </c>
      <c r="V207" s="200">
        <f>ROUND(U207*$S$19,2)</f>
        <v>0.16</v>
      </c>
      <c r="W207" s="197">
        <f>ROUND(SUM(U207:V207)*$AA$19,2)</f>
        <v>0.57</v>
      </c>
      <c r="X207" s="197">
        <f>ROUND(SUM(U207:V207)*$AA$21,2)</f>
        <v>0</v>
      </c>
      <c r="Y207" s="197">
        <f>ROUND(SUM(U207:V207)*$AA$20,2)</f>
        <v>0.03</v>
      </c>
      <c r="Z207" s="201">
        <f>ROUND(U207*$S$20,2)</f>
        <v>1.67</v>
      </c>
      <c r="AA207" s="202">
        <f>SUM(U207:Z207)</f>
        <v>3.9499999999999997</v>
      </c>
      <c r="AB207" s="203">
        <f>ROUND(AA207*$S$21,2)</f>
        <v>1.19</v>
      </c>
      <c r="AC207" s="204">
        <f>SUM(AA207:AB207)</f>
        <v>5.14</v>
      </c>
      <c r="AD207" s="205">
        <f>ROUND(AC207*$AD$19/95,2)</f>
        <v>0.27</v>
      </c>
      <c r="AE207" s="206">
        <f>SUM(AC207:AD207)</f>
        <v>5.41</v>
      </c>
      <c r="AF207" s="84"/>
      <c r="AG207" s="235" t="s">
        <v>406</v>
      </c>
      <c r="AH207" s="446" t="s">
        <v>407</v>
      </c>
      <c r="AI207" s="446"/>
      <c r="AJ207" s="78" t="s">
        <v>54</v>
      </c>
      <c r="AK207" s="78"/>
      <c r="AL207" s="207">
        <f>AE207</f>
        <v>5.41</v>
      </c>
      <c r="AM207" s="207"/>
      <c r="AN207" s="207">
        <f>BS207</f>
        <v>5.41</v>
      </c>
      <c r="AO207" s="19"/>
      <c r="AP207" s="84"/>
      <c r="AQ207" s="235" t="s">
        <v>406</v>
      </c>
      <c r="AR207" s="446" t="s">
        <v>407</v>
      </c>
      <c r="AS207" s="446"/>
      <c r="AT207" s="29">
        <v>15</v>
      </c>
      <c r="AU207" s="214">
        <f t="shared" si="181"/>
        <v>0.0565</v>
      </c>
      <c r="AV207" s="269">
        <f t="shared" si="182"/>
        <v>0.85</v>
      </c>
      <c r="AW207" s="269">
        <f t="shared" si="188"/>
        <v>0</v>
      </c>
      <c r="AX207" s="198">
        <f t="shared" si="183"/>
        <v>0.85</v>
      </c>
      <c r="AY207" s="190">
        <v>15</v>
      </c>
      <c r="AZ207" s="214">
        <f t="shared" si="184"/>
        <v>0.0445</v>
      </c>
      <c r="BA207" s="269">
        <f t="shared" si="185"/>
        <v>0.67</v>
      </c>
      <c r="BB207" s="269">
        <f t="shared" si="189"/>
        <v>0</v>
      </c>
      <c r="BC207" s="198">
        <f t="shared" si="186"/>
        <v>0.67</v>
      </c>
      <c r="BD207" s="199">
        <f t="shared" si="187"/>
        <v>1.52</v>
      </c>
      <c r="BE207" s="235" t="s">
        <v>406</v>
      </c>
      <c r="BF207" s="446" t="s">
        <v>407</v>
      </c>
      <c r="BG207" s="446"/>
      <c r="BH207" s="22" t="s">
        <v>54</v>
      </c>
      <c r="BI207" s="200">
        <f t="shared" si="153"/>
        <v>1.52</v>
      </c>
      <c r="BJ207" s="200">
        <f>ROUND(BI207*$S$19,2)</f>
        <v>0.16</v>
      </c>
      <c r="BK207" s="197">
        <f t="shared" si="154"/>
        <v>0.57</v>
      </c>
      <c r="BL207" s="197">
        <f t="shared" si="155"/>
        <v>0</v>
      </c>
      <c r="BM207" s="197">
        <f t="shared" si="156"/>
        <v>0.03</v>
      </c>
      <c r="BN207" s="201">
        <f t="shared" si="157"/>
        <v>1.67</v>
      </c>
      <c r="BO207" s="202">
        <f t="shared" si="158"/>
        <v>3.9499999999999997</v>
      </c>
      <c r="BP207" s="203">
        <f>ROUND(BO207*$S$21,2)</f>
        <v>1.19</v>
      </c>
      <c r="BQ207" s="204">
        <f t="shared" si="159"/>
        <v>5.14</v>
      </c>
      <c r="BR207" s="205">
        <f>ROUND(BQ207*$AD$19/95,2)</f>
        <v>0.27</v>
      </c>
      <c r="BS207" s="206">
        <f t="shared" si="160"/>
        <v>5.41</v>
      </c>
      <c r="BT207" s="84"/>
    </row>
    <row r="208" spans="1:72" ht="29.25" customHeight="1">
      <c r="A208" s="84"/>
      <c r="B208" s="233" t="s">
        <v>408</v>
      </c>
      <c r="C208" s="234" t="s">
        <v>409</v>
      </c>
      <c r="D208" s="251"/>
      <c r="E208" s="255"/>
      <c r="F208" s="256"/>
      <c r="G208" s="253"/>
      <c r="H208" s="253"/>
      <c r="I208" s="254"/>
      <c r="J208" s="255"/>
      <c r="K208" s="255"/>
      <c r="L208" s="253"/>
      <c r="M208" s="253"/>
      <c r="N208" s="254"/>
      <c r="O208" s="220"/>
      <c r="P208" s="233" t="s">
        <v>408</v>
      </c>
      <c r="Q208" s="442" t="s">
        <v>409</v>
      </c>
      <c r="R208" s="442"/>
      <c r="S208" s="76"/>
      <c r="T208" s="219"/>
      <c r="U208" s="253"/>
      <c r="V208" s="253"/>
      <c r="W208" s="253"/>
      <c r="X208" s="253"/>
      <c r="Y208" s="253"/>
      <c r="Z208" s="253"/>
      <c r="AA208" s="253"/>
      <c r="AB208" s="253"/>
      <c r="AC208" s="253"/>
      <c r="AD208" s="253"/>
      <c r="AE208" s="220"/>
      <c r="AF208" s="84"/>
      <c r="AG208" s="233" t="s">
        <v>408</v>
      </c>
      <c r="AH208" s="442" t="s">
        <v>409</v>
      </c>
      <c r="AI208" s="442"/>
      <c r="AJ208" s="78"/>
      <c r="AK208" s="78"/>
      <c r="AL208" s="207"/>
      <c r="AM208" s="207"/>
      <c r="AN208" s="207"/>
      <c r="AO208" s="19"/>
      <c r="AP208" s="84"/>
      <c r="AQ208" s="233" t="s">
        <v>408</v>
      </c>
      <c r="AR208" s="442" t="s">
        <v>409</v>
      </c>
      <c r="AS208" s="442"/>
      <c r="AT208" s="29"/>
      <c r="AU208" s="256"/>
      <c r="AV208" s="254"/>
      <c r="AW208" s="254"/>
      <c r="AX208" s="254"/>
      <c r="AY208" s="255"/>
      <c r="AZ208" s="256"/>
      <c r="BA208" s="254"/>
      <c r="BB208" s="254"/>
      <c r="BC208" s="254"/>
      <c r="BD208" s="220"/>
      <c r="BE208" s="233" t="s">
        <v>408</v>
      </c>
      <c r="BF208" s="442" t="s">
        <v>409</v>
      </c>
      <c r="BG208" s="442"/>
      <c r="BH208" s="219"/>
      <c r="BI208" s="253"/>
      <c r="BJ208" s="253"/>
      <c r="BK208" s="253"/>
      <c r="BL208" s="253"/>
      <c r="BM208" s="253"/>
      <c r="BN208" s="253"/>
      <c r="BO208" s="253"/>
      <c r="BP208" s="253"/>
      <c r="BQ208" s="253"/>
      <c r="BR208" s="253"/>
      <c r="BS208" s="220"/>
      <c r="BT208" s="84"/>
    </row>
    <row r="209" spans="1:72" ht="51" customHeight="1">
      <c r="A209" s="24"/>
      <c r="B209" s="235" t="s">
        <v>410</v>
      </c>
      <c r="C209" s="236" t="s">
        <v>411</v>
      </c>
      <c r="D209" s="78" t="s">
        <v>53</v>
      </c>
      <c r="E209" s="190">
        <v>10</v>
      </c>
      <c r="F209" s="214">
        <f>$G$15</f>
        <v>0.0565</v>
      </c>
      <c r="G209" s="197">
        <f>ROUND(E209*F209,2)</f>
        <v>0.57</v>
      </c>
      <c r="H209" s="197">
        <f>ROUND(G209*($A$16+$A$17)/100,2)</f>
        <v>0</v>
      </c>
      <c r="I209" s="198">
        <f>SUM(G209:H209)</f>
        <v>0.57</v>
      </c>
      <c r="J209" s="257">
        <v>5</v>
      </c>
      <c r="K209" s="214">
        <f>$G$18</f>
        <v>0.0445</v>
      </c>
      <c r="L209" s="197">
        <f>ROUND(J209*K209,2)</f>
        <v>0.22</v>
      </c>
      <c r="M209" s="197">
        <f>ROUND(L209*($A$16+$A$17)/100,2)</f>
        <v>0</v>
      </c>
      <c r="N209" s="198">
        <f>SUM(L209:M209)</f>
        <v>0.22</v>
      </c>
      <c r="O209" s="199">
        <f>SUM(I209,N209)</f>
        <v>0.7899999999999999</v>
      </c>
      <c r="P209" s="235" t="s">
        <v>410</v>
      </c>
      <c r="Q209" s="446" t="s">
        <v>411</v>
      </c>
      <c r="R209" s="446"/>
      <c r="S209" s="76"/>
      <c r="T209" s="22" t="s">
        <v>54</v>
      </c>
      <c r="U209" s="200">
        <f>O209</f>
        <v>0.7899999999999999</v>
      </c>
      <c r="V209" s="200">
        <f>ROUND(U209*$S$19,2)</f>
        <v>0.08</v>
      </c>
      <c r="W209" s="197">
        <f>ROUND(SUM(U209:V209)*$AA$19,2)</f>
        <v>0.3</v>
      </c>
      <c r="X209" s="197">
        <f>ROUND(SUM(U209:V209)*$AA$21,2)</f>
        <v>0</v>
      </c>
      <c r="Y209" s="197">
        <f>ROUND(SUM(U209:V209)*$AA$20,2)</f>
        <v>0.01</v>
      </c>
      <c r="Z209" s="201">
        <f>ROUND(U209*$S$20,2)</f>
        <v>0.87</v>
      </c>
      <c r="AA209" s="202">
        <f>SUM(U209:Z209)</f>
        <v>2.05</v>
      </c>
      <c r="AB209" s="203">
        <f>ROUND(AA209*$S$21,2)</f>
        <v>0.62</v>
      </c>
      <c r="AC209" s="204">
        <f>SUM(AA209:AB209)</f>
        <v>2.67</v>
      </c>
      <c r="AD209" s="205">
        <f>ROUND(AC209*$AD$19/95,2)</f>
        <v>0.14</v>
      </c>
      <c r="AE209" s="206">
        <f>SUM(AC209:AD209)</f>
        <v>2.81</v>
      </c>
      <c r="AF209" s="24"/>
      <c r="AG209" s="235" t="s">
        <v>410</v>
      </c>
      <c r="AH209" s="446" t="s">
        <v>411</v>
      </c>
      <c r="AI209" s="446"/>
      <c r="AJ209" s="78"/>
      <c r="AK209" s="78"/>
      <c r="AL209" s="207">
        <f>AE209</f>
        <v>2.81</v>
      </c>
      <c r="AM209" s="207"/>
      <c r="AN209" s="207">
        <f>BS209</f>
        <v>1.78</v>
      </c>
      <c r="AO209" s="19"/>
      <c r="AP209" s="24"/>
      <c r="AQ209" s="235" t="s">
        <v>410</v>
      </c>
      <c r="AR209" s="446" t="s">
        <v>411</v>
      </c>
      <c r="AS209" s="446"/>
      <c r="AT209" s="29">
        <v>5</v>
      </c>
      <c r="AU209" s="214">
        <f t="shared" si="181"/>
        <v>0.0565</v>
      </c>
      <c r="AV209" s="269">
        <f t="shared" si="182"/>
        <v>0.28</v>
      </c>
      <c r="AW209" s="269">
        <f t="shared" si="188"/>
        <v>0</v>
      </c>
      <c r="AX209" s="198">
        <f t="shared" si="183"/>
        <v>0.28</v>
      </c>
      <c r="AY209" s="190">
        <v>5</v>
      </c>
      <c r="AZ209" s="214">
        <f t="shared" si="184"/>
        <v>0.0445</v>
      </c>
      <c r="BA209" s="269">
        <f t="shared" si="185"/>
        <v>0.22</v>
      </c>
      <c r="BB209" s="269">
        <f t="shared" si="189"/>
        <v>0</v>
      </c>
      <c r="BC209" s="198">
        <f t="shared" si="186"/>
        <v>0.22</v>
      </c>
      <c r="BD209" s="199">
        <f t="shared" si="187"/>
        <v>0.5</v>
      </c>
      <c r="BE209" s="235" t="s">
        <v>410</v>
      </c>
      <c r="BF209" s="446" t="s">
        <v>411</v>
      </c>
      <c r="BG209" s="446"/>
      <c r="BH209" s="22"/>
      <c r="BI209" s="200">
        <f t="shared" si="153"/>
        <v>0.5</v>
      </c>
      <c r="BJ209" s="200">
        <f>ROUND(BI209*$S$19,2)</f>
        <v>0.05</v>
      </c>
      <c r="BK209" s="197">
        <f t="shared" si="154"/>
        <v>0.19</v>
      </c>
      <c r="BL209" s="197">
        <f t="shared" si="155"/>
        <v>0</v>
      </c>
      <c r="BM209" s="197">
        <f t="shared" si="156"/>
        <v>0.01</v>
      </c>
      <c r="BN209" s="201">
        <f t="shared" si="157"/>
        <v>0.55</v>
      </c>
      <c r="BO209" s="202">
        <f t="shared" si="158"/>
        <v>1.3</v>
      </c>
      <c r="BP209" s="203">
        <f>ROUND(BO209*$S$21,2)</f>
        <v>0.39</v>
      </c>
      <c r="BQ209" s="204">
        <f t="shared" si="159"/>
        <v>1.69</v>
      </c>
      <c r="BR209" s="205">
        <f>ROUND(BQ209*$AD$19/95,2)</f>
        <v>0.09</v>
      </c>
      <c r="BS209" s="206">
        <f t="shared" si="160"/>
        <v>1.78</v>
      </c>
      <c r="BT209" s="24"/>
    </row>
    <row r="210" spans="1:72" ht="15.75" customHeight="1">
      <c r="A210" s="24"/>
      <c r="B210" s="235" t="s">
        <v>963</v>
      </c>
      <c r="C210" s="282" t="s">
        <v>964</v>
      </c>
      <c r="D210" s="78" t="s">
        <v>53</v>
      </c>
      <c r="E210" s="190">
        <v>15</v>
      </c>
      <c r="F210" s="214">
        <f>$G$15</f>
        <v>0.0565</v>
      </c>
      <c r="G210" s="197">
        <f>ROUND(E210*F210,2)</f>
        <v>0.85</v>
      </c>
      <c r="H210" s="197">
        <f>ROUND(G210*($A$16+$A$17)/100,2)</f>
        <v>0</v>
      </c>
      <c r="I210" s="198">
        <f>SUM(G210:H210)</f>
        <v>0.85</v>
      </c>
      <c r="J210" s="257">
        <v>15</v>
      </c>
      <c r="K210" s="214">
        <f>$G$18</f>
        <v>0.0445</v>
      </c>
      <c r="L210" s="197">
        <f>ROUND(J210*K210,2)</f>
        <v>0.67</v>
      </c>
      <c r="M210" s="197">
        <f>ROUND(L210*($A$16+$A$17)/100,2)</f>
        <v>0</v>
      </c>
      <c r="N210" s="198">
        <f>SUM(L210:M210)</f>
        <v>0.67</v>
      </c>
      <c r="O210" s="199">
        <f>SUM(I210,N210)</f>
        <v>1.52</v>
      </c>
      <c r="P210" s="235" t="s">
        <v>963</v>
      </c>
      <c r="Q210" s="446" t="s">
        <v>964</v>
      </c>
      <c r="R210" s="446"/>
      <c r="S210" s="76"/>
      <c r="T210" s="22" t="s">
        <v>54</v>
      </c>
      <c r="U210" s="200">
        <f>O210</f>
        <v>1.52</v>
      </c>
      <c r="V210" s="200">
        <f>ROUND(U210*$S$19,2)</f>
        <v>0.16</v>
      </c>
      <c r="W210" s="197">
        <f>ROUND(SUM(U210:V210)*$AA$19,2)</f>
        <v>0.57</v>
      </c>
      <c r="X210" s="197">
        <f>ROUND(SUM(U210:V210)*$AA$21,2)</f>
        <v>0</v>
      </c>
      <c r="Y210" s="197">
        <f>ROUND(SUM(U210:V210)*$AA$20,2)</f>
        <v>0.03</v>
      </c>
      <c r="Z210" s="201">
        <f>ROUND(U210*$S$20,2)</f>
        <v>1.67</v>
      </c>
      <c r="AA210" s="202">
        <f>SUM(U210:Z210)</f>
        <v>3.9499999999999997</v>
      </c>
      <c r="AB210" s="203">
        <f>ROUND(AA210*$S$21,2)</f>
        <v>1.19</v>
      </c>
      <c r="AC210" s="204">
        <f>SUM(AA210:AB210)</f>
        <v>5.14</v>
      </c>
      <c r="AD210" s="205">
        <f>ROUND(AC210*$AD$19/95,2)</f>
        <v>0.27</v>
      </c>
      <c r="AE210" s="206">
        <f>SUM(AC210:AD210)</f>
        <v>5.41</v>
      </c>
      <c r="AF210" s="24"/>
      <c r="AG210" s="235" t="s">
        <v>963</v>
      </c>
      <c r="AH210" s="446" t="s">
        <v>964</v>
      </c>
      <c r="AI210" s="446"/>
      <c r="AJ210" s="78"/>
      <c r="AK210" s="78"/>
      <c r="AL210" s="207">
        <f>AE210</f>
        <v>5.41</v>
      </c>
      <c r="AM210" s="207"/>
      <c r="AN210" s="207">
        <f>BS210</f>
        <v>4.07</v>
      </c>
      <c r="AO210" s="19"/>
      <c r="AP210" s="24"/>
      <c r="AQ210" s="235" t="s">
        <v>963</v>
      </c>
      <c r="AR210" s="446" t="s">
        <v>964</v>
      </c>
      <c r="AS210" s="446"/>
      <c r="AT210" s="29">
        <v>10</v>
      </c>
      <c r="AU210" s="214">
        <f t="shared" si="181"/>
        <v>0.0565</v>
      </c>
      <c r="AV210" s="269">
        <f t="shared" si="182"/>
        <v>0.57</v>
      </c>
      <c r="AW210" s="269">
        <f t="shared" si="188"/>
        <v>0</v>
      </c>
      <c r="AX210" s="198">
        <f t="shared" si="183"/>
        <v>0.57</v>
      </c>
      <c r="AY210" s="190">
        <v>13</v>
      </c>
      <c r="AZ210" s="214">
        <f t="shared" si="184"/>
        <v>0.0445</v>
      </c>
      <c r="BA210" s="269">
        <f t="shared" si="185"/>
        <v>0.58</v>
      </c>
      <c r="BB210" s="269">
        <f t="shared" si="189"/>
        <v>0</v>
      </c>
      <c r="BC210" s="198">
        <f t="shared" si="186"/>
        <v>0.58</v>
      </c>
      <c r="BD210" s="199">
        <f t="shared" si="187"/>
        <v>1.15</v>
      </c>
      <c r="BE210" s="235" t="s">
        <v>963</v>
      </c>
      <c r="BF210" s="446" t="s">
        <v>964</v>
      </c>
      <c r="BG210" s="446"/>
      <c r="BH210" s="22"/>
      <c r="BI210" s="200">
        <f t="shared" si="153"/>
        <v>1.15</v>
      </c>
      <c r="BJ210" s="200">
        <f>ROUND(BI210*$S$19,2)</f>
        <v>0.12</v>
      </c>
      <c r="BK210" s="197">
        <f t="shared" si="154"/>
        <v>0.43</v>
      </c>
      <c r="BL210" s="197">
        <f t="shared" si="155"/>
        <v>0</v>
      </c>
      <c r="BM210" s="197">
        <f t="shared" si="156"/>
        <v>0.02</v>
      </c>
      <c r="BN210" s="201">
        <f t="shared" si="157"/>
        <v>1.26</v>
      </c>
      <c r="BO210" s="202">
        <f t="shared" si="158"/>
        <v>2.98</v>
      </c>
      <c r="BP210" s="203">
        <f>ROUND(BO210*$S$21,2)</f>
        <v>0.89</v>
      </c>
      <c r="BQ210" s="204">
        <f t="shared" si="159"/>
        <v>3.87</v>
      </c>
      <c r="BR210" s="205">
        <f>ROUND(BQ210*$AD$19/95,2)</f>
        <v>0.2</v>
      </c>
      <c r="BS210" s="206">
        <f t="shared" si="160"/>
        <v>4.07</v>
      </c>
      <c r="BT210" s="24"/>
    </row>
    <row r="211" spans="1:72" ht="13.5" customHeight="1">
      <c r="A211" s="24"/>
      <c r="B211" s="235" t="s">
        <v>966</v>
      </c>
      <c r="C211" s="282" t="s">
        <v>967</v>
      </c>
      <c r="D211" s="78" t="s">
        <v>53</v>
      </c>
      <c r="E211" s="190">
        <v>15</v>
      </c>
      <c r="F211" s="214">
        <f>$G$15</f>
        <v>0.0565</v>
      </c>
      <c r="G211" s="197">
        <f>ROUND(E211*F211,2)</f>
        <v>0.85</v>
      </c>
      <c r="H211" s="197">
        <f>ROUND(G211*($A$16+$A$17)/100,2)</f>
        <v>0</v>
      </c>
      <c r="I211" s="198">
        <f>SUM(G211:H211)</f>
        <v>0.85</v>
      </c>
      <c r="J211" s="257">
        <v>15</v>
      </c>
      <c r="K211" s="214">
        <f>$G$18</f>
        <v>0.0445</v>
      </c>
      <c r="L211" s="197">
        <f>ROUND(J211*K211,2)</f>
        <v>0.67</v>
      </c>
      <c r="M211" s="197">
        <f>ROUND(L211*($A$16+$A$17)/100,2)</f>
        <v>0</v>
      </c>
      <c r="N211" s="198">
        <f>SUM(L211:M211)</f>
        <v>0.67</v>
      </c>
      <c r="O211" s="199">
        <f>SUM(I211,N211)</f>
        <v>1.52</v>
      </c>
      <c r="P211" s="235" t="s">
        <v>966</v>
      </c>
      <c r="Q211" s="446" t="s">
        <v>967</v>
      </c>
      <c r="R211" s="446"/>
      <c r="S211" s="76"/>
      <c r="T211" s="22" t="s">
        <v>54</v>
      </c>
      <c r="U211" s="200">
        <f>O211</f>
        <v>1.52</v>
      </c>
      <c r="V211" s="200">
        <f>ROUND(U211*$S$19,2)</f>
        <v>0.16</v>
      </c>
      <c r="W211" s="197">
        <f>ROUND(SUM(U211:V211)*$AA$19,2)</f>
        <v>0.57</v>
      </c>
      <c r="X211" s="197">
        <f>ROUND(SUM(U211:V211)*$AA$21,2)</f>
        <v>0</v>
      </c>
      <c r="Y211" s="197">
        <f>ROUND(SUM(U211:V211)*$AA$20,2)</f>
        <v>0.03</v>
      </c>
      <c r="Z211" s="201">
        <f>ROUND(U211*$S$20,2)</f>
        <v>1.67</v>
      </c>
      <c r="AA211" s="202">
        <f>SUM(U211:Z211)</f>
        <v>3.9499999999999997</v>
      </c>
      <c r="AB211" s="203">
        <f>ROUND(AA211*$S$21,2)</f>
        <v>1.19</v>
      </c>
      <c r="AC211" s="204">
        <f>SUM(AA211:AB211)</f>
        <v>5.14</v>
      </c>
      <c r="AD211" s="205">
        <f>ROUND(AC211*$AD$19/95,2)</f>
        <v>0.27</v>
      </c>
      <c r="AE211" s="206">
        <f>SUM(AC211:AD211)</f>
        <v>5.41</v>
      </c>
      <c r="AF211" s="24"/>
      <c r="AG211" s="235" t="s">
        <v>966</v>
      </c>
      <c r="AH211" s="446" t="s">
        <v>967</v>
      </c>
      <c r="AI211" s="446"/>
      <c r="AJ211" s="78"/>
      <c r="AK211" s="78"/>
      <c r="AL211" s="207">
        <f>AE211</f>
        <v>5.41</v>
      </c>
      <c r="AM211" s="207"/>
      <c r="AN211" s="207">
        <f>BS211</f>
        <v>4.07</v>
      </c>
      <c r="AO211" s="19"/>
      <c r="AP211" s="24"/>
      <c r="AQ211" s="235" t="s">
        <v>966</v>
      </c>
      <c r="AR211" s="446" t="s">
        <v>967</v>
      </c>
      <c r="AS211" s="446"/>
      <c r="AT211" s="29">
        <v>10</v>
      </c>
      <c r="AU211" s="214">
        <f t="shared" si="181"/>
        <v>0.0565</v>
      </c>
      <c r="AV211" s="269">
        <f t="shared" si="182"/>
        <v>0.57</v>
      </c>
      <c r="AW211" s="269">
        <f t="shared" si="188"/>
        <v>0</v>
      </c>
      <c r="AX211" s="198">
        <f t="shared" si="183"/>
        <v>0.57</v>
      </c>
      <c r="AY211" s="190">
        <v>13</v>
      </c>
      <c r="AZ211" s="214">
        <f t="shared" si="184"/>
        <v>0.0445</v>
      </c>
      <c r="BA211" s="269">
        <f t="shared" si="185"/>
        <v>0.58</v>
      </c>
      <c r="BB211" s="269">
        <f t="shared" si="189"/>
        <v>0</v>
      </c>
      <c r="BC211" s="198">
        <f t="shared" si="186"/>
        <v>0.58</v>
      </c>
      <c r="BD211" s="199">
        <f t="shared" si="187"/>
        <v>1.15</v>
      </c>
      <c r="BE211" s="235" t="s">
        <v>966</v>
      </c>
      <c r="BF211" s="446" t="s">
        <v>967</v>
      </c>
      <c r="BG211" s="446"/>
      <c r="BH211" s="22"/>
      <c r="BI211" s="200">
        <f t="shared" si="153"/>
        <v>1.15</v>
      </c>
      <c r="BJ211" s="200">
        <f>ROUND(BI211*$S$19,2)</f>
        <v>0.12</v>
      </c>
      <c r="BK211" s="197">
        <f t="shared" si="154"/>
        <v>0.43</v>
      </c>
      <c r="BL211" s="197">
        <f t="shared" si="155"/>
        <v>0</v>
      </c>
      <c r="BM211" s="197">
        <f t="shared" si="156"/>
        <v>0.02</v>
      </c>
      <c r="BN211" s="201">
        <f t="shared" si="157"/>
        <v>1.26</v>
      </c>
      <c r="BO211" s="202">
        <f t="shared" si="158"/>
        <v>2.98</v>
      </c>
      <c r="BP211" s="203">
        <f>ROUND(BO211*$S$21,2)</f>
        <v>0.89</v>
      </c>
      <c r="BQ211" s="204">
        <f t="shared" si="159"/>
        <v>3.87</v>
      </c>
      <c r="BR211" s="205">
        <f>ROUND(BQ211*$AD$19/95,2)</f>
        <v>0.2</v>
      </c>
      <c r="BS211" s="206">
        <f t="shared" si="160"/>
        <v>4.07</v>
      </c>
      <c r="BT211" s="24"/>
    </row>
    <row r="212" spans="1:72" ht="18" customHeight="1">
      <c r="A212" s="84"/>
      <c r="B212" s="235" t="s">
        <v>423</v>
      </c>
      <c r="C212" s="236" t="s">
        <v>424</v>
      </c>
      <c r="D212" s="78" t="s">
        <v>53</v>
      </c>
      <c r="E212" s="190">
        <v>10</v>
      </c>
      <c r="F212" s="214">
        <f>$G$15</f>
        <v>0.0565</v>
      </c>
      <c r="G212" s="197">
        <f>ROUND(E212*F212,2)</f>
        <v>0.57</v>
      </c>
      <c r="H212" s="197">
        <f>ROUND(G212*($A$16+$A$17)/100,2)</f>
        <v>0</v>
      </c>
      <c r="I212" s="198">
        <f>SUM(G212:H212)</f>
        <v>0.57</v>
      </c>
      <c r="J212" s="257">
        <v>10</v>
      </c>
      <c r="K212" s="214">
        <f>$G$18</f>
        <v>0.0445</v>
      </c>
      <c r="L212" s="197">
        <f>ROUND(J212*K212,2)</f>
        <v>0.45</v>
      </c>
      <c r="M212" s="197">
        <f>ROUND(L212*($A$16+$A$17)/100,2)</f>
        <v>0</v>
      </c>
      <c r="N212" s="198">
        <f>SUM(L212:M212)</f>
        <v>0.45</v>
      </c>
      <c r="O212" s="199">
        <f>SUM(I212,N212)</f>
        <v>1.02</v>
      </c>
      <c r="P212" s="235" t="s">
        <v>423</v>
      </c>
      <c r="Q212" s="446" t="s">
        <v>424</v>
      </c>
      <c r="R212" s="446"/>
      <c r="S212" s="76"/>
      <c r="T212" s="22" t="s">
        <v>54</v>
      </c>
      <c r="U212" s="200">
        <f>O212</f>
        <v>1.02</v>
      </c>
      <c r="V212" s="200">
        <f>ROUND(U212*$S$19,2)</f>
        <v>0.11</v>
      </c>
      <c r="W212" s="197">
        <f>ROUND(SUM(U212:V212)*$AA$19,2)</f>
        <v>0.38</v>
      </c>
      <c r="X212" s="197">
        <f>ROUND(SUM(U212:V212)*$AA$21,2)</f>
        <v>0</v>
      </c>
      <c r="Y212" s="197">
        <f>ROUND(SUM(U212:V212)*$AA$20,2)</f>
        <v>0.02</v>
      </c>
      <c r="Z212" s="201">
        <f>ROUND(U212*$S$20,2)</f>
        <v>1.12</v>
      </c>
      <c r="AA212" s="202">
        <f>SUM(U212:Z212)</f>
        <v>2.6500000000000004</v>
      </c>
      <c r="AB212" s="203">
        <f>ROUND(AA212*$S$21,2)</f>
        <v>0.8</v>
      </c>
      <c r="AC212" s="204">
        <f>SUM(AA212:AB212)</f>
        <v>3.45</v>
      </c>
      <c r="AD212" s="205">
        <f>ROUND(AC212*$AD$19/95,2)</f>
        <v>0.18</v>
      </c>
      <c r="AE212" s="206">
        <f>SUM(AC212:AD212)</f>
        <v>3.6300000000000003</v>
      </c>
      <c r="AF212" s="84"/>
      <c r="AG212" s="235" t="s">
        <v>423</v>
      </c>
      <c r="AH212" s="446" t="s">
        <v>424</v>
      </c>
      <c r="AI212" s="446"/>
      <c r="AJ212" s="78" t="s">
        <v>54</v>
      </c>
      <c r="AK212" s="78"/>
      <c r="AL212" s="207">
        <f>AE212</f>
        <v>3.6300000000000003</v>
      </c>
      <c r="AM212" s="207"/>
      <c r="AN212" s="207">
        <f>BS212</f>
        <v>2.86</v>
      </c>
      <c r="AO212" s="19"/>
      <c r="AP212" s="84"/>
      <c r="AQ212" s="235" t="s">
        <v>423</v>
      </c>
      <c r="AR212" s="446" t="s">
        <v>424</v>
      </c>
      <c r="AS212" s="446"/>
      <c r="AT212" s="29">
        <v>8</v>
      </c>
      <c r="AU212" s="214">
        <f t="shared" si="181"/>
        <v>0.0565</v>
      </c>
      <c r="AV212" s="269">
        <f t="shared" si="182"/>
        <v>0.45</v>
      </c>
      <c r="AW212" s="269">
        <f t="shared" si="188"/>
        <v>0</v>
      </c>
      <c r="AX212" s="198">
        <f t="shared" si="183"/>
        <v>0.45</v>
      </c>
      <c r="AY212" s="190">
        <v>8</v>
      </c>
      <c r="AZ212" s="214">
        <f t="shared" si="184"/>
        <v>0.0445</v>
      </c>
      <c r="BA212" s="269">
        <f t="shared" si="185"/>
        <v>0.36</v>
      </c>
      <c r="BB212" s="269">
        <f t="shared" si="189"/>
        <v>0</v>
      </c>
      <c r="BC212" s="198">
        <f t="shared" si="186"/>
        <v>0.36</v>
      </c>
      <c r="BD212" s="199">
        <f t="shared" si="187"/>
        <v>0.81</v>
      </c>
      <c r="BE212" s="235" t="s">
        <v>423</v>
      </c>
      <c r="BF212" s="446" t="s">
        <v>424</v>
      </c>
      <c r="BG212" s="446"/>
      <c r="BH212" s="22" t="s">
        <v>54</v>
      </c>
      <c r="BI212" s="200">
        <f t="shared" si="153"/>
        <v>0.81</v>
      </c>
      <c r="BJ212" s="200">
        <f>ROUND(BI212*$S$19,2)</f>
        <v>0.08</v>
      </c>
      <c r="BK212" s="197">
        <f t="shared" si="154"/>
        <v>0.3</v>
      </c>
      <c r="BL212" s="197">
        <f t="shared" si="155"/>
        <v>0</v>
      </c>
      <c r="BM212" s="197">
        <f t="shared" si="156"/>
        <v>0.01</v>
      </c>
      <c r="BN212" s="201">
        <f t="shared" si="157"/>
        <v>0.89</v>
      </c>
      <c r="BO212" s="202">
        <f t="shared" si="158"/>
        <v>2.09</v>
      </c>
      <c r="BP212" s="203">
        <f>ROUND(BO212*$S$21,2)</f>
        <v>0.63</v>
      </c>
      <c r="BQ212" s="204">
        <f t="shared" si="159"/>
        <v>2.7199999999999998</v>
      </c>
      <c r="BR212" s="205">
        <f>ROUND(BQ212*$AD$19/95,2)</f>
        <v>0.14</v>
      </c>
      <c r="BS212" s="206">
        <f t="shared" si="160"/>
        <v>2.86</v>
      </c>
      <c r="BT212" s="84"/>
    </row>
    <row r="213" spans="1:72" ht="16.5" customHeight="1">
      <c r="A213" s="84"/>
      <c r="B213" s="233" t="s">
        <v>437</v>
      </c>
      <c r="C213" s="234" t="s">
        <v>438</v>
      </c>
      <c r="D213" s="251"/>
      <c r="E213" s="255"/>
      <c r="F213" s="256"/>
      <c r="G213" s="253"/>
      <c r="H213" s="253"/>
      <c r="I213" s="254"/>
      <c r="J213" s="255"/>
      <c r="K213" s="255"/>
      <c r="L213" s="253"/>
      <c r="M213" s="253"/>
      <c r="N213" s="254"/>
      <c r="O213" s="220"/>
      <c r="P213" s="233" t="s">
        <v>437</v>
      </c>
      <c r="Q213" s="442" t="s">
        <v>438</v>
      </c>
      <c r="R213" s="442"/>
      <c r="S213" s="76"/>
      <c r="T213" s="219"/>
      <c r="U213" s="253"/>
      <c r="V213" s="253"/>
      <c r="W213" s="253"/>
      <c r="X213" s="253"/>
      <c r="Y213" s="253"/>
      <c r="Z213" s="253"/>
      <c r="AA213" s="253"/>
      <c r="AB213" s="253"/>
      <c r="AC213" s="253"/>
      <c r="AD213" s="253"/>
      <c r="AE213" s="220"/>
      <c r="AF213" s="84"/>
      <c r="AG213" s="233" t="s">
        <v>437</v>
      </c>
      <c r="AH213" s="442" t="s">
        <v>438</v>
      </c>
      <c r="AI213" s="442"/>
      <c r="AJ213" s="78"/>
      <c r="AK213" s="78"/>
      <c r="AL213" s="207"/>
      <c r="AM213" s="207"/>
      <c r="AN213" s="207"/>
      <c r="AO213" s="19"/>
      <c r="AP213" s="84"/>
      <c r="AQ213" s="233" t="s">
        <v>437</v>
      </c>
      <c r="AR213" s="442" t="s">
        <v>438</v>
      </c>
      <c r="AS213" s="442"/>
      <c r="AT213" s="29"/>
      <c r="AU213" s="256"/>
      <c r="AV213" s="254"/>
      <c r="AW213" s="254"/>
      <c r="AX213" s="254"/>
      <c r="AY213" s="255"/>
      <c r="AZ213" s="256"/>
      <c r="BA213" s="254"/>
      <c r="BB213" s="254"/>
      <c r="BC213" s="254"/>
      <c r="BD213" s="220"/>
      <c r="BE213" s="233" t="s">
        <v>437</v>
      </c>
      <c r="BF213" s="442" t="s">
        <v>438</v>
      </c>
      <c r="BG213" s="442"/>
      <c r="BH213" s="219"/>
      <c r="BI213" s="253"/>
      <c r="BJ213" s="253"/>
      <c r="BK213" s="253"/>
      <c r="BL213" s="253"/>
      <c r="BM213" s="253"/>
      <c r="BN213" s="253"/>
      <c r="BO213" s="253"/>
      <c r="BP213" s="253"/>
      <c r="BQ213" s="253"/>
      <c r="BR213" s="253"/>
      <c r="BS213" s="220"/>
      <c r="BT213" s="84"/>
    </row>
    <row r="214" spans="1:72" ht="27.75" customHeight="1">
      <c r="A214" s="84"/>
      <c r="B214" s="235" t="s">
        <v>439</v>
      </c>
      <c r="C214" s="236" t="s">
        <v>440</v>
      </c>
      <c r="D214" s="78" t="s">
        <v>53</v>
      </c>
      <c r="E214" s="190">
        <v>20</v>
      </c>
      <c r="F214" s="214">
        <f>$G$15</f>
        <v>0.0565</v>
      </c>
      <c r="G214" s="197">
        <f>ROUND(E214*F214,2)</f>
        <v>1.13</v>
      </c>
      <c r="H214" s="197">
        <f>ROUND(G214*($A$16+$A$17)/100,2)</f>
        <v>0</v>
      </c>
      <c r="I214" s="198">
        <f>SUM(G214:H214)</f>
        <v>1.13</v>
      </c>
      <c r="J214" s="257">
        <v>80</v>
      </c>
      <c r="K214" s="214">
        <f>$G$18</f>
        <v>0.0445</v>
      </c>
      <c r="L214" s="197">
        <f>ROUND(J214*K214,2)</f>
        <v>3.56</v>
      </c>
      <c r="M214" s="197">
        <f>ROUND(L214*($A$16+$A$17)/100,2)</f>
        <v>0</v>
      </c>
      <c r="N214" s="198">
        <f>SUM(L214:M214)</f>
        <v>3.56</v>
      </c>
      <c r="O214" s="199">
        <f>SUM(I214,N214)</f>
        <v>4.6899999999999995</v>
      </c>
      <c r="P214" s="235" t="s">
        <v>439</v>
      </c>
      <c r="Q214" s="446" t="s">
        <v>440</v>
      </c>
      <c r="R214" s="446"/>
      <c r="S214" s="76"/>
      <c r="T214" s="22" t="s">
        <v>54</v>
      </c>
      <c r="U214" s="200">
        <f>O214</f>
        <v>4.6899999999999995</v>
      </c>
      <c r="V214" s="200">
        <f>ROUND(U214*$S$19,2)</f>
        <v>0.49</v>
      </c>
      <c r="W214" s="197">
        <f>ROUND(SUM(U214:V214)*$AA$19,2)</f>
        <v>1.76</v>
      </c>
      <c r="X214" s="197">
        <f>ROUND(SUM(U214:V214)*$AA$21,2)</f>
        <v>0</v>
      </c>
      <c r="Y214" s="197">
        <f>ROUND(SUM(U214:V214)*$AA$20,2)</f>
        <v>0.08</v>
      </c>
      <c r="Z214" s="201">
        <f>ROUND(U214*$S$20,2)</f>
        <v>5.15</v>
      </c>
      <c r="AA214" s="202">
        <f>SUM(U214:Z214)</f>
        <v>12.17</v>
      </c>
      <c r="AB214" s="203">
        <f>ROUND(AA214*$S$21,2)</f>
        <v>3.65</v>
      </c>
      <c r="AC214" s="204">
        <f>SUM(AA214:AB214)</f>
        <v>15.82</v>
      </c>
      <c r="AD214" s="205">
        <f>ROUND(AC214*$AD$19/95,2)</f>
        <v>0.83</v>
      </c>
      <c r="AE214" s="206">
        <f>SUM(AC214:AD214)</f>
        <v>16.65</v>
      </c>
      <c r="AF214" s="84"/>
      <c r="AG214" s="235" t="s">
        <v>439</v>
      </c>
      <c r="AH214" s="446" t="s">
        <v>440</v>
      </c>
      <c r="AI214" s="446"/>
      <c r="AJ214" s="78" t="s">
        <v>54</v>
      </c>
      <c r="AK214" s="78"/>
      <c r="AL214" s="207">
        <f>AE214</f>
        <v>16.65</v>
      </c>
      <c r="AM214" s="207"/>
      <c r="AN214" s="207">
        <f>BS214</f>
        <v>5.17</v>
      </c>
      <c r="AO214" s="19"/>
      <c r="AP214" s="84"/>
      <c r="AQ214" s="235" t="s">
        <v>439</v>
      </c>
      <c r="AR214" s="446" t="s">
        <v>440</v>
      </c>
      <c r="AS214" s="446"/>
      <c r="AT214" s="29">
        <v>10</v>
      </c>
      <c r="AU214" s="214">
        <f t="shared" si="181"/>
        <v>0.0565</v>
      </c>
      <c r="AV214" s="269">
        <f t="shared" si="182"/>
        <v>0.57</v>
      </c>
      <c r="AW214" s="269">
        <f t="shared" si="188"/>
        <v>0</v>
      </c>
      <c r="AX214" s="198">
        <f t="shared" si="183"/>
        <v>0.57</v>
      </c>
      <c r="AY214" s="190">
        <v>20</v>
      </c>
      <c r="AZ214" s="214">
        <f t="shared" si="184"/>
        <v>0.0445</v>
      </c>
      <c r="BA214" s="269">
        <f t="shared" si="185"/>
        <v>0.89</v>
      </c>
      <c r="BB214" s="269">
        <f t="shared" si="189"/>
        <v>0</v>
      </c>
      <c r="BC214" s="198">
        <f t="shared" si="186"/>
        <v>0.89</v>
      </c>
      <c r="BD214" s="199">
        <f t="shared" si="187"/>
        <v>1.46</v>
      </c>
      <c r="BE214" s="235" t="s">
        <v>439</v>
      </c>
      <c r="BF214" s="446" t="s">
        <v>440</v>
      </c>
      <c r="BG214" s="446"/>
      <c r="BH214" s="22" t="s">
        <v>54</v>
      </c>
      <c r="BI214" s="200">
        <f t="shared" si="153"/>
        <v>1.46</v>
      </c>
      <c r="BJ214" s="200">
        <f>ROUND(BI214*$S$19,2)</f>
        <v>0.15</v>
      </c>
      <c r="BK214" s="197">
        <f t="shared" si="154"/>
        <v>0.55</v>
      </c>
      <c r="BL214" s="197">
        <f t="shared" si="155"/>
        <v>0</v>
      </c>
      <c r="BM214" s="197">
        <f t="shared" si="156"/>
        <v>0.02</v>
      </c>
      <c r="BN214" s="201">
        <f t="shared" si="157"/>
        <v>1.6</v>
      </c>
      <c r="BO214" s="202">
        <f t="shared" si="158"/>
        <v>3.7800000000000002</v>
      </c>
      <c r="BP214" s="203">
        <f>ROUND(BO214*$S$21,2)</f>
        <v>1.13</v>
      </c>
      <c r="BQ214" s="204">
        <f t="shared" si="159"/>
        <v>4.91</v>
      </c>
      <c r="BR214" s="205">
        <f>ROUND(BQ214*$AD$19/95,2)</f>
        <v>0.26</v>
      </c>
      <c r="BS214" s="206">
        <f t="shared" si="160"/>
        <v>5.17</v>
      </c>
      <c r="BT214" s="84"/>
    </row>
    <row r="215" spans="1:72" ht="12" customHeight="1">
      <c r="A215" s="84"/>
      <c r="B215" s="233" t="s">
        <v>969</v>
      </c>
      <c r="C215" s="362" t="s">
        <v>970</v>
      </c>
      <c r="D215" s="251"/>
      <c r="E215" s="255"/>
      <c r="F215" s="256"/>
      <c r="G215" s="253"/>
      <c r="H215" s="253"/>
      <c r="I215" s="254"/>
      <c r="J215" s="255"/>
      <c r="K215" s="255"/>
      <c r="L215" s="253"/>
      <c r="M215" s="253"/>
      <c r="N215" s="254"/>
      <c r="O215" s="220"/>
      <c r="P215" s="233" t="s">
        <v>969</v>
      </c>
      <c r="Q215" s="442" t="s">
        <v>970</v>
      </c>
      <c r="R215" s="442"/>
      <c r="S215" s="76"/>
      <c r="T215" s="219"/>
      <c r="U215" s="253"/>
      <c r="V215" s="253"/>
      <c r="W215" s="253"/>
      <c r="X215" s="253"/>
      <c r="Y215" s="253"/>
      <c r="Z215" s="253"/>
      <c r="AA215" s="253"/>
      <c r="AB215" s="253"/>
      <c r="AC215" s="253"/>
      <c r="AD215" s="253"/>
      <c r="AE215" s="220"/>
      <c r="AF215" s="84"/>
      <c r="AG215" s="233" t="s">
        <v>969</v>
      </c>
      <c r="AH215" s="442" t="s">
        <v>970</v>
      </c>
      <c r="AI215" s="442"/>
      <c r="AJ215" s="78"/>
      <c r="AK215" s="78"/>
      <c r="AL215" s="207"/>
      <c r="AM215" s="207"/>
      <c r="AN215" s="207"/>
      <c r="AO215" s="19"/>
      <c r="AP215" s="84"/>
      <c r="AQ215" s="233" t="s">
        <v>969</v>
      </c>
      <c r="AR215" s="442" t="s">
        <v>970</v>
      </c>
      <c r="AS215" s="442"/>
      <c r="AT215" s="29"/>
      <c r="AU215" s="256"/>
      <c r="AV215" s="254"/>
      <c r="AW215" s="254"/>
      <c r="AX215" s="254"/>
      <c r="AY215" s="255"/>
      <c r="AZ215" s="256"/>
      <c r="BA215" s="254"/>
      <c r="BB215" s="254"/>
      <c r="BC215" s="254"/>
      <c r="BD215" s="220"/>
      <c r="BE215" s="233" t="s">
        <v>969</v>
      </c>
      <c r="BF215" s="442" t="s">
        <v>970</v>
      </c>
      <c r="BG215" s="442"/>
      <c r="BH215" s="219"/>
      <c r="BI215" s="253"/>
      <c r="BJ215" s="253"/>
      <c r="BK215" s="253"/>
      <c r="BL215" s="253"/>
      <c r="BM215" s="253"/>
      <c r="BN215" s="253"/>
      <c r="BO215" s="253"/>
      <c r="BP215" s="253"/>
      <c r="BQ215" s="253"/>
      <c r="BR215" s="253"/>
      <c r="BS215" s="220"/>
      <c r="BT215" s="84"/>
    </row>
    <row r="216" spans="1:72" ht="39" customHeight="1">
      <c r="A216" s="24"/>
      <c r="B216" s="235" t="s">
        <v>971</v>
      </c>
      <c r="C216" s="363" t="s">
        <v>975</v>
      </c>
      <c r="D216" s="78" t="s">
        <v>53</v>
      </c>
      <c r="E216" s="190">
        <v>100</v>
      </c>
      <c r="F216" s="214">
        <f aca="true" t="shared" si="190" ref="F216:F221">$G$15</f>
        <v>0.0565</v>
      </c>
      <c r="G216" s="197">
        <f aca="true" t="shared" si="191" ref="G216:G221">ROUND(E216*F216,2)</f>
        <v>5.65</v>
      </c>
      <c r="H216" s="197">
        <f aca="true" t="shared" si="192" ref="H216:H221">ROUND(G216*($A$16+$A$17)/100,2)</f>
        <v>0</v>
      </c>
      <c r="I216" s="198">
        <f aca="true" t="shared" si="193" ref="I216:I221">SUM(G216:H216)</f>
        <v>5.65</v>
      </c>
      <c r="J216" s="257">
        <v>60</v>
      </c>
      <c r="K216" s="214">
        <f aca="true" t="shared" si="194" ref="K216:K221">$G$18</f>
        <v>0.0445</v>
      </c>
      <c r="L216" s="197">
        <f aca="true" t="shared" si="195" ref="L216:L221">ROUND(J216*K216,2)</f>
        <v>2.67</v>
      </c>
      <c r="M216" s="197">
        <f aca="true" t="shared" si="196" ref="M216:M221">ROUND(L216*($A$16+$A$17)/100,2)</f>
        <v>0</v>
      </c>
      <c r="N216" s="198">
        <f aca="true" t="shared" si="197" ref="N216:N221">SUM(L216:M216)</f>
        <v>2.67</v>
      </c>
      <c r="O216" s="199">
        <f aca="true" t="shared" si="198" ref="O216:O221">SUM(I216,N216)</f>
        <v>8.32</v>
      </c>
      <c r="P216" s="235" t="s">
        <v>971</v>
      </c>
      <c r="Q216" s="443" t="s">
        <v>975</v>
      </c>
      <c r="R216" s="443"/>
      <c r="S216" s="76"/>
      <c r="T216" s="22" t="s">
        <v>54</v>
      </c>
      <c r="U216" s="200">
        <f aca="true" t="shared" si="199" ref="U216:U221">O216</f>
        <v>8.32</v>
      </c>
      <c r="V216" s="200">
        <f aca="true" t="shared" si="200" ref="V216:V221">ROUND(U216*$S$19,2)</f>
        <v>0.86</v>
      </c>
      <c r="W216" s="197">
        <f aca="true" t="shared" si="201" ref="W216:W221">ROUND(SUM(U216:V216)*$AA$19,2)</f>
        <v>3.12</v>
      </c>
      <c r="X216" s="197">
        <f aca="true" t="shared" si="202" ref="X216:X221">ROUND(SUM(U216:V216)*$AA$21,2)</f>
        <v>0.01</v>
      </c>
      <c r="Y216" s="197">
        <f aca="true" t="shared" si="203" ref="Y216:Y221">ROUND(SUM(U216:V216)*$AA$20,2)</f>
        <v>0.14</v>
      </c>
      <c r="Z216" s="201">
        <f aca="true" t="shared" si="204" ref="Z216:Z221">ROUND(U216*$S$20,2)</f>
        <v>9.13</v>
      </c>
      <c r="AA216" s="202">
        <f aca="true" t="shared" si="205" ref="AA216:AA221">SUM(U216:Z216)</f>
        <v>21.580000000000002</v>
      </c>
      <c r="AB216" s="203">
        <f aca="true" t="shared" si="206" ref="AB216:AB221">ROUND(AA216*$S$21,2)</f>
        <v>6.47</v>
      </c>
      <c r="AC216" s="204">
        <f aca="true" t="shared" si="207" ref="AC216:AC221">SUM(AA216:AB216)</f>
        <v>28.05</v>
      </c>
      <c r="AD216" s="205">
        <f aca="true" t="shared" si="208" ref="AD216:AD221">ROUND(AC216*$AD$19/95,2)</f>
        <v>1.48</v>
      </c>
      <c r="AE216" s="206">
        <f aca="true" t="shared" si="209" ref="AE216:AE221">SUM(AC216:AD216)</f>
        <v>29.53</v>
      </c>
      <c r="AF216" s="24"/>
      <c r="AG216" s="235" t="s">
        <v>971</v>
      </c>
      <c r="AH216" s="443" t="s">
        <v>975</v>
      </c>
      <c r="AI216" s="443"/>
      <c r="AJ216" s="78"/>
      <c r="AK216" s="78"/>
      <c r="AL216" s="207">
        <f aca="true" t="shared" si="210" ref="AL216:AL221">AE216</f>
        <v>29.53</v>
      </c>
      <c r="AM216" s="207"/>
      <c r="AN216" s="207">
        <f aca="true" t="shared" si="211" ref="AN216:AN221">BS216</f>
        <v>13.209999999999999</v>
      </c>
      <c r="AO216" s="19"/>
      <c r="AP216" s="24"/>
      <c r="AQ216" s="235" t="s">
        <v>971</v>
      </c>
      <c r="AR216" s="443" t="s">
        <v>975</v>
      </c>
      <c r="AS216" s="443"/>
      <c r="AT216" s="29">
        <v>50</v>
      </c>
      <c r="AU216" s="214">
        <f t="shared" si="181"/>
        <v>0.0565</v>
      </c>
      <c r="AV216" s="269">
        <f aca="true" t="shared" si="212" ref="AV216:AV221">ROUND(AT216*AU216,2)</f>
        <v>2.83</v>
      </c>
      <c r="AW216" s="269">
        <f aca="true" t="shared" si="213" ref="AW216:AW221">ROUND(AV216*($A$16+$A$17)/100,2)</f>
        <v>0</v>
      </c>
      <c r="AX216" s="198">
        <f aca="true" t="shared" si="214" ref="AX216:AX221">SUM(AV216:AW216)</f>
        <v>2.83</v>
      </c>
      <c r="AY216" s="190">
        <v>20</v>
      </c>
      <c r="AZ216" s="214">
        <f t="shared" si="184"/>
        <v>0.0445</v>
      </c>
      <c r="BA216" s="269">
        <f aca="true" t="shared" si="215" ref="BA216:BA221">ROUND(AY216*AZ216,2)</f>
        <v>0.89</v>
      </c>
      <c r="BB216" s="269">
        <f aca="true" t="shared" si="216" ref="BB216:BB221">ROUND(BA216*($A$16+$A$17)/100,2)</f>
        <v>0</v>
      </c>
      <c r="BC216" s="198">
        <f aca="true" t="shared" si="217" ref="BC216:BC221">SUM(BA216:BB216)</f>
        <v>0.89</v>
      </c>
      <c r="BD216" s="199">
        <f aca="true" t="shared" si="218" ref="BD216:BD221">SUM(AX216,BC216)</f>
        <v>3.72</v>
      </c>
      <c r="BE216" s="235" t="s">
        <v>971</v>
      </c>
      <c r="BF216" s="443" t="s">
        <v>975</v>
      </c>
      <c r="BG216" s="443"/>
      <c r="BH216" s="22"/>
      <c r="BI216" s="200">
        <f aca="true" t="shared" si="219" ref="BI216:BI221">BD216</f>
        <v>3.72</v>
      </c>
      <c r="BJ216" s="200">
        <f aca="true" t="shared" si="220" ref="BJ216:BJ221">ROUND(BI216*$S$19,2)</f>
        <v>0.39</v>
      </c>
      <c r="BK216" s="197">
        <f aca="true" t="shared" si="221" ref="BK216:BK221">ROUND(SUM(BI216:BJ216)*$AA$19,2)</f>
        <v>1.4</v>
      </c>
      <c r="BL216" s="197">
        <f aca="true" t="shared" si="222" ref="BL216:BL221">ROUND(SUM(BI216:BJ216)*$AA$21,2)</f>
        <v>0</v>
      </c>
      <c r="BM216" s="197">
        <f aca="true" t="shared" si="223" ref="BM216:BM221">ROUND(SUM(BI216:BJ216)*$AA$20,2)</f>
        <v>0.06</v>
      </c>
      <c r="BN216" s="201">
        <f aca="true" t="shared" si="224" ref="BN216:BN221">ROUND(BI216*$S$20,2)</f>
        <v>4.08</v>
      </c>
      <c r="BO216" s="202">
        <f aca="true" t="shared" si="225" ref="BO216:BO221">SUM(BI216:BN216)</f>
        <v>9.649999999999999</v>
      </c>
      <c r="BP216" s="203">
        <f aca="true" t="shared" si="226" ref="BP216:BP221">ROUND(BO216*$S$21,2)</f>
        <v>2.9</v>
      </c>
      <c r="BQ216" s="204">
        <f aca="true" t="shared" si="227" ref="BQ216:BQ221">SUM(BO216:BP216)</f>
        <v>12.549999999999999</v>
      </c>
      <c r="BR216" s="205">
        <f aca="true" t="shared" si="228" ref="BR216:BR221">ROUND(BQ216*$AD$19/95,2)</f>
        <v>0.66</v>
      </c>
      <c r="BS216" s="206">
        <f aca="true" t="shared" si="229" ref="BS216:BS221">SUM(BQ216:BR216)</f>
        <v>13.209999999999999</v>
      </c>
      <c r="BT216" s="24"/>
    </row>
    <row r="217" spans="1:72" ht="25.5" customHeight="1">
      <c r="A217" s="24"/>
      <c r="B217" s="235" t="s">
        <v>972</v>
      </c>
      <c r="C217" s="363" t="s">
        <v>976</v>
      </c>
      <c r="D217" s="78" t="s">
        <v>53</v>
      </c>
      <c r="E217" s="190">
        <v>100</v>
      </c>
      <c r="F217" s="214">
        <f t="shared" si="190"/>
        <v>0.0565</v>
      </c>
      <c r="G217" s="197">
        <f t="shared" si="191"/>
        <v>5.65</v>
      </c>
      <c r="H217" s="197">
        <f t="shared" si="192"/>
        <v>0</v>
      </c>
      <c r="I217" s="198">
        <f t="shared" si="193"/>
        <v>5.65</v>
      </c>
      <c r="J217" s="257">
        <v>60</v>
      </c>
      <c r="K217" s="214">
        <f t="shared" si="194"/>
        <v>0.0445</v>
      </c>
      <c r="L217" s="197">
        <f t="shared" si="195"/>
        <v>2.67</v>
      </c>
      <c r="M217" s="197">
        <f t="shared" si="196"/>
        <v>0</v>
      </c>
      <c r="N217" s="198">
        <f t="shared" si="197"/>
        <v>2.67</v>
      </c>
      <c r="O217" s="199">
        <f t="shared" si="198"/>
        <v>8.32</v>
      </c>
      <c r="P217" s="235" t="s">
        <v>972</v>
      </c>
      <c r="Q217" s="443" t="s">
        <v>976</v>
      </c>
      <c r="R217" s="443"/>
      <c r="S217" s="76"/>
      <c r="T217" s="22" t="s">
        <v>54</v>
      </c>
      <c r="U217" s="200">
        <f t="shared" si="199"/>
        <v>8.32</v>
      </c>
      <c r="V217" s="200">
        <f t="shared" si="200"/>
        <v>0.86</v>
      </c>
      <c r="W217" s="197">
        <f t="shared" si="201"/>
        <v>3.12</v>
      </c>
      <c r="X217" s="197">
        <f t="shared" si="202"/>
        <v>0.01</v>
      </c>
      <c r="Y217" s="197">
        <f t="shared" si="203"/>
        <v>0.14</v>
      </c>
      <c r="Z217" s="201">
        <f t="shared" si="204"/>
        <v>9.13</v>
      </c>
      <c r="AA217" s="202">
        <f t="shared" si="205"/>
        <v>21.580000000000002</v>
      </c>
      <c r="AB217" s="203">
        <f t="shared" si="206"/>
        <v>6.47</v>
      </c>
      <c r="AC217" s="204">
        <f t="shared" si="207"/>
        <v>28.05</v>
      </c>
      <c r="AD217" s="205">
        <f t="shared" si="208"/>
        <v>1.48</v>
      </c>
      <c r="AE217" s="206">
        <f t="shared" si="209"/>
        <v>29.53</v>
      </c>
      <c r="AF217" s="24"/>
      <c r="AG217" s="235" t="s">
        <v>972</v>
      </c>
      <c r="AH217" s="443" t="s">
        <v>976</v>
      </c>
      <c r="AI217" s="443"/>
      <c r="AJ217" s="78"/>
      <c r="AK217" s="78"/>
      <c r="AL217" s="207">
        <f t="shared" si="210"/>
        <v>29.53</v>
      </c>
      <c r="AM217" s="207"/>
      <c r="AN217" s="207">
        <f t="shared" si="211"/>
        <v>13.209999999999999</v>
      </c>
      <c r="AO217" s="19"/>
      <c r="AP217" s="24"/>
      <c r="AQ217" s="235" t="s">
        <v>972</v>
      </c>
      <c r="AR217" s="443" t="s">
        <v>976</v>
      </c>
      <c r="AS217" s="443"/>
      <c r="AT217" s="29">
        <v>50</v>
      </c>
      <c r="AU217" s="214">
        <f t="shared" si="181"/>
        <v>0.0565</v>
      </c>
      <c r="AV217" s="269">
        <f t="shared" si="212"/>
        <v>2.83</v>
      </c>
      <c r="AW217" s="269">
        <f t="shared" si="213"/>
        <v>0</v>
      </c>
      <c r="AX217" s="198">
        <f t="shared" si="214"/>
        <v>2.83</v>
      </c>
      <c r="AY217" s="190">
        <v>20</v>
      </c>
      <c r="AZ217" s="214">
        <f t="shared" si="184"/>
        <v>0.0445</v>
      </c>
      <c r="BA217" s="269">
        <f t="shared" si="215"/>
        <v>0.89</v>
      </c>
      <c r="BB217" s="269">
        <f t="shared" si="216"/>
        <v>0</v>
      </c>
      <c r="BC217" s="198">
        <f t="shared" si="217"/>
        <v>0.89</v>
      </c>
      <c r="BD217" s="199">
        <f t="shared" si="218"/>
        <v>3.72</v>
      </c>
      <c r="BE217" s="235" t="s">
        <v>972</v>
      </c>
      <c r="BF217" s="443" t="s">
        <v>976</v>
      </c>
      <c r="BG217" s="443"/>
      <c r="BH217" s="22"/>
      <c r="BI217" s="200">
        <f t="shared" si="219"/>
        <v>3.72</v>
      </c>
      <c r="BJ217" s="200">
        <f t="shared" si="220"/>
        <v>0.39</v>
      </c>
      <c r="BK217" s="197">
        <f t="shared" si="221"/>
        <v>1.4</v>
      </c>
      <c r="BL217" s="197">
        <f t="shared" si="222"/>
        <v>0</v>
      </c>
      <c r="BM217" s="197">
        <f t="shared" si="223"/>
        <v>0.06</v>
      </c>
      <c r="BN217" s="201">
        <f t="shared" si="224"/>
        <v>4.08</v>
      </c>
      <c r="BO217" s="202">
        <f t="shared" si="225"/>
        <v>9.649999999999999</v>
      </c>
      <c r="BP217" s="203">
        <f t="shared" si="226"/>
        <v>2.9</v>
      </c>
      <c r="BQ217" s="204">
        <f t="shared" si="227"/>
        <v>12.549999999999999</v>
      </c>
      <c r="BR217" s="205">
        <f t="shared" si="228"/>
        <v>0.66</v>
      </c>
      <c r="BS217" s="206">
        <f t="shared" si="229"/>
        <v>13.209999999999999</v>
      </c>
      <c r="BT217" s="24"/>
    </row>
    <row r="218" spans="1:72" ht="25.5" customHeight="1">
      <c r="A218" s="24"/>
      <c r="B218" s="235" t="s">
        <v>973</v>
      </c>
      <c r="C218" s="363" t="s">
        <v>977</v>
      </c>
      <c r="D218" s="78" t="s">
        <v>53</v>
      </c>
      <c r="E218" s="190">
        <v>100</v>
      </c>
      <c r="F218" s="214">
        <f t="shared" si="190"/>
        <v>0.0565</v>
      </c>
      <c r="G218" s="197">
        <f t="shared" si="191"/>
        <v>5.65</v>
      </c>
      <c r="H218" s="197">
        <f t="shared" si="192"/>
        <v>0</v>
      </c>
      <c r="I218" s="198">
        <f t="shared" si="193"/>
        <v>5.65</v>
      </c>
      <c r="J218" s="257">
        <v>60</v>
      </c>
      <c r="K218" s="214">
        <f t="shared" si="194"/>
        <v>0.0445</v>
      </c>
      <c r="L218" s="197">
        <f t="shared" si="195"/>
        <v>2.67</v>
      </c>
      <c r="M218" s="197">
        <f t="shared" si="196"/>
        <v>0</v>
      </c>
      <c r="N218" s="198">
        <f t="shared" si="197"/>
        <v>2.67</v>
      </c>
      <c r="O218" s="199">
        <f t="shared" si="198"/>
        <v>8.32</v>
      </c>
      <c r="P218" s="235" t="s">
        <v>973</v>
      </c>
      <c r="Q218" s="443" t="s">
        <v>977</v>
      </c>
      <c r="R218" s="443"/>
      <c r="S218" s="76"/>
      <c r="T218" s="22" t="s">
        <v>54</v>
      </c>
      <c r="U218" s="200">
        <f t="shared" si="199"/>
        <v>8.32</v>
      </c>
      <c r="V218" s="200">
        <f t="shared" si="200"/>
        <v>0.86</v>
      </c>
      <c r="W218" s="197">
        <f t="shared" si="201"/>
        <v>3.12</v>
      </c>
      <c r="X218" s="197">
        <f t="shared" si="202"/>
        <v>0.01</v>
      </c>
      <c r="Y218" s="197">
        <f t="shared" si="203"/>
        <v>0.14</v>
      </c>
      <c r="Z218" s="201">
        <f t="shared" si="204"/>
        <v>9.13</v>
      </c>
      <c r="AA218" s="202">
        <f t="shared" si="205"/>
        <v>21.580000000000002</v>
      </c>
      <c r="AB218" s="203">
        <f t="shared" si="206"/>
        <v>6.47</v>
      </c>
      <c r="AC218" s="204">
        <f t="shared" si="207"/>
        <v>28.05</v>
      </c>
      <c r="AD218" s="205">
        <f t="shared" si="208"/>
        <v>1.48</v>
      </c>
      <c r="AE218" s="206">
        <f t="shared" si="209"/>
        <v>29.53</v>
      </c>
      <c r="AF218" s="24"/>
      <c r="AG218" s="235" t="s">
        <v>973</v>
      </c>
      <c r="AH218" s="443" t="s">
        <v>977</v>
      </c>
      <c r="AI218" s="443"/>
      <c r="AJ218" s="78"/>
      <c r="AK218" s="78"/>
      <c r="AL218" s="207">
        <f t="shared" si="210"/>
        <v>29.53</v>
      </c>
      <c r="AM218" s="207"/>
      <c r="AN218" s="207">
        <f t="shared" si="211"/>
        <v>13.209999999999999</v>
      </c>
      <c r="AO218" s="19"/>
      <c r="AP218" s="24"/>
      <c r="AQ218" s="235" t="s">
        <v>973</v>
      </c>
      <c r="AR218" s="443" t="s">
        <v>977</v>
      </c>
      <c r="AS218" s="443"/>
      <c r="AT218" s="29">
        <v>50</v>
      </c>
      <c r="AU218" s="214">
        <f t="shared" si="181"/>
        <v>0.0565</v>
      </c>
      <c r="AV218" s="269">
        <f t="shared" si="212"/>
        <v>2.83</v>
      </c>
      <c r="AW218" s="269">
        <f t="shared" si="213"/>
        <v>0</v>
      </c>
      <c r="AX218" s="198">
        <f t="shared" si="214"/>
        <v>2.83</v>
      </c>
      <c r="AY218" s="190">
        <v>20</v>
      </c>
      <c r="AZ218" s="214">
        <f t="shared" si="184"/>
        <v>0.0445</v>
      </c>
      <c r="BA218" s="269">
        <f t="shared" si="215"/>
        <v>0.89</v>
      </c>
      <c r="BB218" s="269">
        <f t="shared" si="216"/>
        <v>0</v>
      </c>
      <c r="BC218" s="198">
        <f t="shared" si="217"/>
        <v>0.89</v>
      </c>
      <c r="BD218" s="199">
        <f t="shared" si="218"/>
        <v>3.72</v>
      </c>
      <c r="BE218" s="235" t="s">
        <v>973</v>
      </c>
      <c r="BF218" s="443" t="s">
        <v>977</v>
      </c>
      <c r="BG218" s="443"/>
      <c r="BH218" s="22"/>
      <c r="BI218" s="200">
        <f t="shared" si="219"/>
        <v>3.72</v>
      </c>
      <c r="BJ218" s="200">
        <f t="shared" si="220"/>
        <v>0.39</v>
      </c>
      <c r="BK218" s="197">
        <f t="shared" si="221"/>
        <v>1.4</v>
      </c>
      <c r="BL218" s="197">
        <f t="shared" si="222"/>
        <v>0</v>
      </c>
      <c r="BM218" s="197">
        <f t="shared" si="223"/>
        <v>0.06</v>
      </c>
      <c r="BN218" s="201">
        <f t="shared" si="224"/>
        <v>4.08</v>
      </c>
      <c r="BO218" s="202">
        <f t="shared" si="225"/>
        <v>9.649999999999999</v>
      </c>
      <c r="BP218" s="203">
        <f t="shared" si="226"/>
        <v>2.9</v>
      </c>
      <c r="BQ218" s="204">
        <f t="shared" si="227"/>
        <v>12.549999999999999</v>
      </c>
      <c r="BR218" s="205">
        <f t="shared" si="228"/>
        <v>0.66</v>
      </c>
      <c r="BS218" s="206">
        <f t="shared" si="229"/>
        <v>13.209999999999999</v>
      </c>
      <c r="BT218" s="24"/>
    </row>
    <row r="219" spans="1:72" ht="27.75" customHeight="1">
      <c r="A219" s="84"/>
      <c r="B219" s="235" t="s">
        <v>974</v>
      </c>
      <c r="C219" s="363" t="s">
        <v>978</v>
      </c>
      <c r="D219" s="78" t="s">
        <v>53</v>
      </c>
      <c r="E219" s="190">
        <v>100</v>
      </c>
      <c r="F219" s="214">
        <f t="shared" si="190"/>
        <v>0.0565</v>
      </c>
      <c r="G219" s="197">
        <f t="shared" si="191"/>
        <v>5.65</v>
      </c>
      <c r="H219" s="197">
        <f t="shared" si="192"/>
        <v>0</v>
      </c>
      <c r="I219" s="198">
        <f t="shared" si="193"/>
        <v>5.65</v>
      </c>
      <c r="J219" s="257">
        <v>60</v>
      </c>
      <c r="K219" s="214">
        <f t="shared" si="194"/>
        <v>0.0445</v>
      </c>
      <c r="L219" s="197">
        <f t="shared" si="195"/>
        <v>2.67</v>
      </c>
      <c r="M219" s="197">
        <f t="shared" si="196"/>
        <v>0</v>
      </c>
      <c r="N219" s="198">
        <f t="shared" si="197"/>
        <v>2.67</v>
      </c>
      <c r="O219" s="199">
        <f t="shared" si="198"/>
        <v>8.32</v>
      </c>
      <c r="P219" s="235" t="s">
        <v>974</v>
      </c>
      <c r="Q219" s="443" t="s">
        <v>978</v>
      </c>
      <c r="R219" s="443"/>
      <c r="S219" s="76"/>
      <c r="T219" s="22" t="s">
        <v>54</v>
      </c>
      <c r="U219" s="200">
        <f t="shared" si="199"/>
        <v>8.32</v>
      </c>
      <c r="V219" s="200">
        <f t="shared" si="200"/>
        <v>0.86</v>
      </c>
      <c r="W219" s="197">
        <f t="shared" si="201"/>
        <v>3.12</v>
      </c>
      <c r="X219" s="197">
        <f t="shared" si="202"/>
        <v>0.01</v>
      </c>
      <c r="Y219" s="197">
        <f t="shared" si="203"/>
        <v>0.14</v>
      </c>
      <c r="Z219" s="201">
        <f t="shared" si="204"/>
        <v>9.13</v>
      </c>
      <c r="AA219" s="202">
        <f t="shared" si="205"/>
        <v>21.580000000000002</v>
      </c>
      <c r="AB219" s="203">
        <f t="shared" si="206"/>
        <v>6.47</v>
      </c>
      <c r="AC219" s="204">
        <f t="shared" si="207"/>
        <v>28.05</v>
      </c>
      <c r="AD219" s="205">
        <f t="shared" si="208"/>
        <v>1.48</v>
      </c>
      <c r="AE219" s="206">
        <f t="shared" si="209"/>
        <v>29.53</v>
      </c>
      <c r="AF219" s="84"/>
      <c r="AG219" s="235" t="s">
        <v>974</v>
      </c>
      <c r="AH219" s="443" t="s">
        <v>978</v>
      </c>
      <c r="AI219" s="443"/>
      <c r="AJ219" s="78" t="s">
        <v>54</v>
      </c>
      <c r="AK219" s="78"/>
      <c r="AL219" s="207">
        <f t="shared" si="210"/>
        <v>29.53</v>
      </c>
      <c r="AM219" s="207"/>
      <c r="AN219" s="207">
        <f t="shared" si="211"/>
        <v>13.209999999999999</v>
      </c>
      <c r="AO219" s="19"/>
      <c r="AP219" s="84"/>
      <c r="AQ219" s="235" t="s">
        <v>974</v>
      </c>
      <c r="AR219" s="443" t="s">
        <v>978</v>
      </c>
      <c r="AS219" s="443"/>
      <c r="AT219" s="29">
        <v>50</v>
      </c>
      <c r="AU219" s="214">
        <f t="shared" si="181"/>
        <v>0.0565</v>
      </c>
      <c r="AV219" s="269">
        <f t="shared" si="212"/>
        <v>2.83</v>
      </c>
      <c r="AW219" s="269">
        <f t="shared" si="213"/>
        <v>0</v>
      </c>
      <c r="AX219" s="198">
        <f t="shared" si="214"/>
        <v>2.83</v>
      </c>
      <c r="AY219" s="190">
        <v>20</v>
      </c>
      <c r="AZ219" s="214">
        <f t="shared" si="184"/>
        <v>0.0445</v>
      </c>
      <c r="BA219" s="269">
        <f t="shared" si="215"/>
        <v>0.89</v>
      </c>
      <c r="BB219" s="269">
        <f t="shared" si="216"/>
        <v>0</v>
      </c>
      <c r="BC219" s="198">
        <f t="shared" si="217"/>
        <v>0.89</v>
      </c>
      <c r="BD219" s="199">
        <f t="shared" si="218"/>
        <v>3.72</v>
      </c>
      <c r="BE219" s="235" t="s">
        <v>974</v>
      </c>
      <c r="BF219" s="443" t="s">
        <v>978</v>
      </c>
      <c r="BG219" s="443"/>
      <c r="BH219" s="22" t="s">
        <v>54</v>
      </c>
      <c r="BI219" s="200">
        <f t="shared" si="219"/>
        <v>3.72</v>
      </c>
      <c r="BJ219" s="200">
        <f t="shared" si="220"/>
        <v>0.39</v>
      </c>
      <c r="BK219" s="197">
        <f t="shared" si="221"/>
        <v>1.4</v>
      </c>
      <c r="BL219" s="197">
        <f t="shared" si="222"/>
        <v>0</v>
      </c>
      <c r="BM219" s="197">
        <f t="shared" si="223"/>
        <v>0.06</v>
      </c>
      <c r="BN219" s="201">
        <f t="shared" si="224"/>
        <v>4.08</v>
      </c>
      <c r="BO219" s="202">
        <f t="shared" si="225"/>
        <v>9.649999999999999</v>
      </c>
      <c r="BP219" s="203">
        <f t="shared" si="226"/>
        <v>2.9</v>
      </c>
      <c r="BQ219" s="204">
        <f t="shared" si="227"/>
        <v>12.549999999999999</v>
      </c>
      <c r="BR219" s="205">
        <f t="shared" si="228"/>
        <v>0.66</v>
      </c>
      <c r="BS219" s="206">
        <f t="shared" si="229"/>
        <v>13.209999999999999</v>
      </c>
      <c r="BT219" s="84"/>
    </row>
    <row r="220" spans="1:72" ht="16.5" customHeight="1">
      <c r="A220" s="84"/>
      <c r="B220" s="235" t="s">
        <v>983</v>
      </c>
      <c r="C220" s="282" t="s">
        <v>984</v>
      </c>
      <c r="D220" s="78" t="s">
        <v>53</v>
      </c>
      <c r="E220" s="190">
        <v>95</v>
      </c>
      <c r="F220" s="214">
        <f t="shared" si="190"/>
        <v>0.0565</v>
      </c>
      <c r="G220" s="197">
        <f t="shared" si="191"/>
        <v>5.37</v>
      </c>
      <c r="H220" s="197">
        <f t="shared" si="192"/>
        <v>0</v>
      </c>
      <c r="I220" s="198">
        <f t="shared" si="193"/>
        <v>5.37</v>
      </c>
      <c r="J220" s="257">
        <v>70</v>
      </c>
      <c r="K220" s="214">
        <f t="shared" si="194"/>
        <v>0.0445</v>
      </c>
      <c r="L220" s="197">
        <f t="shared" si="195"/>
        <v>3.12</v>
      </c>
      <c r="M220" s="197">
        <f t="shared" si="196"/>
        <v>0</v>
      </c>
      <c r="N220" s="198">
        <f t="shared" si="197"/>
        <v>3.12</v>
      </c>
      <c r="O220" s="199">
        <f t="shared" si="198"/>
        <v>8.49</v>
      </c>
      <c r="P220" s="235" t="s">
        <v>983</v>
      </c>
      <c r="Q220" s="443" t="s">
        <v>984</v>
      </c>
      <c r="R220" s="443"/>
      <c r="S220" s="76"/>
      <c r="T220" s="22" t="s">
        <v>54</v>
      </c>
      <c r="U220" s="200">
        <f t="shared" si="199"/>
        <v>8.49</v>
      </c>
      <c r="V220" s="200">
        <f t="shared" si="200"/>
        <v>0.88</v>
      </c>
      <c r="W220" s="197">
        <f t="shared" si="201"/>
        <v>3.19</v>
      </c>
      <c r="X220" s="197">
        <f t="shared" si="202"/>
        <v>0.01</v>
      </c>
      <c r="Y220" s="197">
        <f t="shared" si="203"/>
        <v>0.14</v>
      </c>
      <c r="Z220" s="201">
        <f t="shared" si="204"/>
        <v>9.32</v>
      </c>
      <c r="AA220" s="202">
        <f t="shared" si="205"/>
        <v>22.03</v>
      </c>
      <c r="AB220" s="203">
        <f t="shared" si="206"/>
        <v>6.61</v>
      </c>
      <c r="AC220" s="204">
        <f t="shared" si="207"/>
        <v>28.64</v>
      </c>
      <c r="AD220" s="205">
        <f t="shared" si="208"/>
        <v>1.51</v>
      </c>
      <c r="AE220" s="206">
        <f t="shared" si="209"/>
        <v>30.150000000000002</v>
      </c>
      <c r="AF220" s="84"/>
      <c r="AG220" s="235" t="s">
        <v>983</v>
      </c>
      <c r="AH220" s="443" t="s">
        <v>984</v>
      </c>
      <c r="AI220" s="443"/>
      <c r="AJ220" s="78" t="s">
        <v>54</v>
      </c>
      <c r="AK220" s="78"/>
      <c r="AL220" s="207">
        <f t="shared" si="210"/>
        <v>30.150000000000002</v>
      </c>
      <c r="AM220" s="207"/>
      <c r="AN220" s="207">
        <f t="shared" si="211"/>
        <v>14.470000000000002</v>
      </c>
      <c r="AO220" s="19"/>
      <c r="AP220" s="84"/>
      <c r="AQ220" s="235" t="s">
        <v>983</v>
      </c>
      <c r="AR220" s="443" t="s">
        <v>984</v>
      </c>
      <c r="AS220" s="443"/>
      <c r="AT220" s="29">
        <v>25</v>
      </c>
      <c r="AU220" s="214">
        <f t="shared" si="181"/>
        <v>0.0565</v>
      </c>
      <c r="AV220" s="269">
        <f t="shared" si="212"/>
        <v>1.41</v>
      </c>
      <c r="AW220" s="269">
        <f t="shared" si="213"/>
        <v>0</v>
      </c>
      <c r="AX220" s="198">
        <f t="shared" si="214"/>
        <v>1.41</v>
      </c>
      <c r="AY220" s="190">
        <v>60</v>
      </c>
      <c r="AZ220" s="214">
        <f t="shared" si="184"/>
        <v>0.0445</v>
      </c>
      <c r="BA220" s="269">
        <f t="shared" si="215"/>
        <v>2.67</v>
      </c>
      <c r="BB220" s="269">
        <f t="shared" si="216"/>
        <v>0</v>
      </c>
      <c r="BC220" s="198">
        <f t="shared" si="217"/>
        <v>2.67</v>
      </c>
      <c r="BD220" s="199">
        <f t="shared" si="218"/>
        <v>4.08</v>
      </c>
      <c r="BE220" s="235" t="s">
        <v>983</v>
      </c>
      <c r="BF220" s="443" t="s">
        <v>984</v>
      </c>
      <c r="BG220" s="443"/>
      <c r="BH220" s="22" t="s">
        <v>54</v>
      </c>
      <c r="BI220" s="200">
        <f t="shared" si="219"/>
        <v>4.08</v>
      </c>
      <c r="BJ220" s="200">
        <f t="shared" si="220"/>
        <v>0.42</v>
      </c>
      <c r="BK220" s="197">
        <f t="shared" si="221"/>
        <v>1.53</v>
      </c>
      <c r="BL220" s="197">
        <f t="shared" si="222"/>
        <v>0</v>
      </c>
      <c r="BM220" s="197">
        <f t="shared" si="223"/>
        <v>0.07</v>
      </c>
      <c r="BN220" s="201">
        <f t="shared" si="224"/>
        <v>4.48</v>
      </c>
      <c r="BO220" s="202">
        <f t="shared" si="225"/>
        <v>10.580000000000002</v>
      </c>
      <c r="BP220" s="203">
        <f t="shared" si="226"/>
        <v>3.17</v>
      </c>
      <c r="BQ220" s="204">
        <f t="shared" si="227"/>
        <v>13.750000000000002</v>
      </c>
      <c r="BR220" s="205">
        <f t="shared" si="228"/>
        <v>0.72</v>
      </c>
      <c r="BS220" s="206">
        <f t="shared" si="229"/>
        <v>14.470000000000002</v>
      </c>
      <c r="BT220" s="84"/>
    </row>
    <row r="221" spans="1:72" ht="13.5" customHeight="1">
      <c r="A221" s="84"/>
      <c r="B221" s="235" t="s">
        <v>986</v>
      </c>
      <c r="C221" s="282" t="s">
        <v>987</v>
      </c>
      <c r="D221" s="78" t="s">
        <v>53</v>
      </c>
      <c r="E221" s="190">
        <v>100</v>
      </c>
      <c r="F221" s="214">
        <f t="shared" si="190"/>
        <v>0.0565</v>
      </c>
      <c r="G221" s="197">
        <f t="shared" si="191"/>
        <v>5.65</v>
      </c>
      <c r="H221" s="197">
        <f t="shared" si="192"/>
        <v>0</v>
      </c>
      <c r="I221" s="198">
        <f t="shared" si="193"/>
        <v>5.65</v>
      </c>
      <c r="J221" s="257">
        <v>90</v>
      </c>
      <c r="K221" s="214">
        <f t="shared" si="194"/>
        <v>0.0445</v>
      </c>
      <c r="L221" s="197">
        <f t="shared" si="195"/>
        <v>4.01</v>
      </c>
      <c r="M221" s="197">
        <f t="shared" si="196"/>
        <v>0</v>
      </c>
      <c r="N221" s="198">
        <f t="shared" si="197"/>
        <v>4.01</v>
      </c>
      <c r="O221" s="199">
        <f t="shared" si="198"/>
        <v>9.66</v>
      </c>
      <c r="P221" s="235" t="s">
        <v>986</v>
      </c>
      <c r="Q221" s="443" t="s">
        <v>987</v>
      </c>
      <c r="R221" s="443"/>
      <c r="S221" s="76"/>
      <c r="T221" s="22" t="s">
        <v>54</v>
      </c>
      <c r="U221" s="200">
        <f t="shared" si="199"/>
        <v>9.66</v>
      </c>
      <c r="V221" s="200">
        <f t="shared" si="200"/>
        <v>1</v>
      </c>
      <c r="W221" s="197">
        <f t="shared" si="201"/>
        <v>3.62</v>
      </c>
      <c r="X221" s="197">
        <f t="shared" si="202"/>
        <v>0.01</v>
      </c>
      <c r="Y221" s="197">
        <f t="shared" si="203"/>
        <v>0.16</v>
      </c>
      <c r="Z221" s="201">
        <f t="shared" si="204"/>
        <v>10.6</v>
      </c>
      <c r="AA221" s="202">
        <f t="shared" si="205"/>
        <v>25.05</v>
      </c>
      <c r="AB221" s="203">
        <f t="shared" si="206"/>
        <v>7.52</v>
      </c>
      <c r="AC221" s="204">
        <f t="shared" si="207"/>
        <v>32.57</v>
      </c>
      <c r="AD221" s="205">
        <f t="shared" si="208"/>
        <v>1.71</v>
      </c>
      <c r="AE221" s="206">
        <f t="shared" si="209"/>
        <v>34.28</v>
      </c>
      <c r="AF221" s="84"/>
      <c r="AG221" s="235" t="s">
        <v>986</v>
      </c>
      <c r="AH221" s="443" t="s">
        <v>987</v>
      </c>
      <c r="AI221" s="443"/>
      <c r="AJ221" s="78" t="s">
        <v>54</v>
      </c>
      <c r="AK221" s="78"/>
      <c r="AL221" s="207">
        <f t="shared" si="210"/>
        <v>34.28</v>
      </c>
      <c r="AM221" s="207"/>
      <c r="AN221" s="207">
        <f t="shared" si="211"/>
        <v>26.68</v>
      </c>
      <c r="AO221" s="19"/>
      <c r="AP221" s="84"/>
      <c r="AQ221" s="235" t="s">
        <v>986</v>
      </c>
      <c r="AR221" s="443" t="s">
        <v>987</v>
      </c>
      <c r="AS221" s="443"/>
      <c r="AT221" s="29">
        <v>70</v>
      </c>
      <c r="AU221" s="214">
        <f t="shared" si="181"/>
        <v>0.0565</v>
      </c>
      <c r="AV221" s="269">
        <f t="shared" si="212"/>
        <v>3.96</v>
      </c>
      <c r="AW221" s="269">
        <f t="shared" si="213"/>
        <v>0</v>
      </c>
      <c r="AX221" s="198">
        <f t="shared" si="214"/>
        <v>3.96</v>
      </c>
      <c r="AY221" s="190">
        <v>80</v>
      </c>
      <c r="AZ221" s="214">
        <f t="shared" si="184"/>
        <v>0.0445</v>
      </c>
      <c r="BA221" s="269">
        <f t="shared" si="215"/>
        <v>3.56</v>
      </c>
      <c r="BB221" s="269">
        <f t="shared" si="216"/>
        <v>0</v>
      </c>
      <c r="BC221" s="198">
        <f t="shared" si="217"/>
        <v>3.56</v>
      </c>
      <c r="BD221" s="199">
        <f t="shared" si="218"/>
        <v>7.52</v>
      </c>
      <c r="BE221" s="235" t="s">
        <v>986</v>
      </c>
      <c r="BF221" s="443" t="s">
        <v>987</v>
      </c>
      <c r="BG221" s="443"/>
      <c r="BH221" s="22" t="s">
        <v>54</v>
      </c>
      <c r="BI221" s="200">
        <f t="shared" si="219"/>
        <v>7.52</v>
      </c>
      <c r="BJ221" s="200">
        <f t="shared" si="220"/>
        <v>0.78</v>
      </c>
      <c r="BK221" s="197">
        <f t="shared" si="221"/>
        <v>2.82</v>
      </c>
      <c r="BL221" s="197">
        <f t="shared" si="222"/>
        <v>0.01</v>
      </c>
      <c r="BM221" s="197">
        <f t="shared" si="223"/>
        <v>0.12</v>
      </c>
      <c r="BN221" s="201">
        <f t="shared" si="224"/>
        <v>8.25</v>
      </c>
      <c r="BO221" s="202">
        <f t="shared" si="225"/>
        <v>19.5</v>
      </c>
      <c r="BP221" s="203">
        <f t="shared" si="226"/>
        <v>5.85</v>
      </c>
      <c r="BQ221" s="204">
        <f t="shared" si="227"/>
        <v>25.35</v>
      </c>
      <c r="BR221" s="205">
        <f t="shared" si="228"/>
        <v>1.33</v>
      </c>
      <c r="BS221" s="206">
        <f t="shared" si="229"/>
        <v>26.68</v>
      </c>
      <c r="BT221" s="84"/>
    </row>
    <row r="222" spans="1:72" ht="15" customHeight="1">
      <c r="A222" s="84"/>
      <c r="B222" s="233" t="s">
        <v>55</v>
      </c>
      <c r="C222" s="234" t="s">
        <v>441</v>
      </c>
      <c r="D222" s="78"/>
      <c r="E222" s="190"/>
      <c r="F222" s="214"/>
      <c r="G222" s="197"/>
      <c r="H222" s="197"/>
      <c r="I222" s="198"/>
      <c r="J222" s="257"/>
      <c r="K222" s="214"/>
      <c r="L222" s="197"/>
      <c r="M222" s="197"/>
      <c r="N222" s="198"/>
      <c r="O222" s="199"/>
      <c r="P222" s="233" t="s">
        <v>55</v>
      </c>
      <c r="Q222" s="442" t="s">
        <v>441</v>
      </c>
      <c r="R222" s="442"/>
      <c r="S222" s="76"/>
      <c r="T222" s="219"/>
      <c r="U222" s="253"/>
      <c r="V222" s="253"/>
      <c r="W222" s="253"/>
      <c r="X222" s="253"/>
      <c r="Y222" s="253"/>
      <c r="Z222" s="253"/>
      <c r="AA222" s="253"/>
      <c r="AB222" s="253"/>
      <c r="AC222" s="253"/>
      <c r="AD222" s="253"/>
      <c r="AE222" s="220"/>
      <c r="AF222" s="84"/>
      <c r="AG222" s="233" t="s">
        <v>55</v>
      </c>
      <c r="AH222" s="442" t="s">
        <v>441</v>
      </c>
      <c r="AI222" s="442"/>
      <c r="AJ222" s="78"/>
      <c r="AK222" s="78"/>
      <c r="AL222" s="207"/>
      <c r="AM222" s="207"/>
      <c r="AN222" s="207"/>
      <c r="AO222" s="19"/>
      <c r="AP222" s="84"/>
      <c r="AQ222" s="233" t="s">
        <v>55</v>
      </c>
      <c r="AR222" s="442" t="s">
        <v>441</v>
      </c>
      <c r="AS222" s="442"/>
      <c r="AT222" s="29"/>
      <c r="AU222" s="256"/>
      <c r="AV222" s="254"/>
      <c r="AW222" s="254"/>
      <c r="AX222" s="254"/>
      <c r="AY222" s="255"/>
      <c r="AZ222" s="256"/>
      <c r="BA222" s="254"/>
      <c r="BB222" s="254"/>
      <c r="BC222" s="254"/>
      <c r="BD222" s="220"/>
      <c r="BE222" s="233" t="s">
        <v>55</v>
      </c>
      <c r="BF222" s="442" t="s">
        <v>441</v>
      </c>
      <c r="BG222" s="442"/>
      <c r="BH222" s="219"/>
      <c r="BI222" s="253"/>
      <c r="BJ222" s="253"/>
      <c r="BK222" s="253"/>
      <c r="BL222" s="253"/>
      <c r="BM222" s="253"/>
      <c r="BN222" s="253"/>
      <c r="BO222" s="253"/>
      <c r="BP222" s="253"/>
      <c r="BQ222" s="253"/>
      <c r="BR222" s="253"/>
      <c r="BS222" s="220"/>
      <c r="BT222" s="84"/>
    </row>
    <row r="223" spans="1:72" ht="25.5" customHeight="1">
      <c r="A223" s="24"/>
      <c r="B223" s="235" t="s">
        <v>442</v>
      </c>
      <c r="C223" s="236" t="s">
        <v>443</v>
      </c>
      <c r="D223" s="78" t="s">
        <v>53</v>
      </c>
      <c r="E223" s="307">
        <v>3</v>
      </c>
      <c r="F223" s="214">
        <f>$G$15</f>
        <v>0.0565</v>
      </c>
      <c r="G223" s="197">
        <f>ROUND(E223*F223,2)</f>
        <v>0.17</v>
      </c>
      <c r="H223" s="197">
        <f>ROUND(G223*($A$16+$A$17)/100,2)</f>
        <v>0</v>
      </c>
      <c r="I223" s="198">
        <f>SUM(G223:H223)</f>
        <v>0.17</v>
      </c>
      <c r="J223" s="257">
        <v>2</v>
      </c>
      <c r="K223" s="214">
        <f>$G$18</f>
        <v>0.0445</v>
      </c>
      <c r="L223" s="197">
        <f>ROUND(J223*K223,2)</f>
        <v>0.09</v>
      </c>
      <c r="M223" s="197">
        <f>ROUND(L223*($A$16+$A$17)/100,2)</f>
        <v>0</v>
      </c>
      <c r="N223" s="198">
        <f>SUM(L223:M223)</f>
        <v>0.09</v>
      </c>
      <c r="O223" s="199">
        <f>SUM(I223,N223)</f>
        <v>0.26</v>
      </c>
      <c r="P223" s="235" t="s">
        <v>442</v>
      </c>
      <c r="Q223" s="446" t="s">
        <v>443</v>
      </c>
      <c r="R223" s="446"/>
      <c r="S223" s="76"/>
      <c r="T223" s="22" t="s">
        <v>54</v>
      </c>
      <c r="U223" s="200">
        <f>O223</f>
        <v>0.26</v>
      </c>
      <c r="V223" s="200">
        <f>ROUND(U223*$S$19,2)</f>
        <v>0.03</v>
      </c>
      <c r="W223" s="197">
        <f>ROUND(SUM(U223:V223)*$AA$19,2)</f>
        <v>0.1</v>
      </c>
      <c r="X223" s="197">
        <f>ROUND(SUM(U223:V223)*$AA$21,2)</f>
        <v>0</v>
      </c>
      <c r="Y223" s="197">
        <f>ROUND(SUM(U223:V223)*$AA$20,2)</f>
        <v>0</v>
      </c>
      <c r="Z223" s="201">
        <f>ROUND(U223*$S$20,2)</f>
        <v>0.29</v>
      </c>
      <c r="AA223" s="202">
        <f>SUM(U223:Z223)</f>
        <v>0.6799999999999999</v>
      </c>
      <c r="AB223" s="203">
        <f>ROUND(AA223*$S$21,2)</f>
        <v>0.2</v>
      </c>
      <c r="AC223" s="204">
        <f>SUM(AA223:AB223)</f>
        <v>0.8799999999999999</v>
      </c>
      <c r="AD223" s="205">
        <f>ROUND(AC223*$AD$19/95,2)</f>
        <v>0.05</v>
      </c>
      <c r="AE223" s="206">
        <f>SUM(AC223:AD223)</f>
        <v>0.9299999999999999</v>
      </c>
      <c r="AF223" s="24"/>
      <c r="AG223" s="235" t="s">
        <v>442</v>
      </c>
      <c r="AH223" s="446" t="s">
        <v>443</v>
      </c>
      <c r="AI223" s="446"/>
      <c r="AJ223" s="78"/>
      <c r="AK223" s="78"/>
      <c r="AL223" s="207">
        <f>AE223</f>
        <v>0.9299999999999999</v>
      </c>
      <c r="AM223" s="207"/>
      <c r="AN223" s="207">
        <f>BS223</f>
        <v>0</v>
      </c>
      <c r="AO223" s="19"/>
      <c r="AP223" s="24"/>
      <c r="AQ223" s="235" t="s">
        <v>442</v>
      </c>
      <c r="AR223" s="446" t="s">
        <v>443</v>
      </c>
      <c r="AS223" s="446"/>
      <c r="AT223" s="29">
        <v>0</v>
      </c>
      <c r="AU223" s="214">
        <f t="shared" si="181"/>
        <v>0.0565</v>
      </c>
      <c r="AV223" s="269">
        <f t="shared" si="182"/>
        <v>0</v>
      </c>
      <c r="AW223" s="269">
        <f t="shared" si="188"/>
        <v>0</v>
      </c>
      <c r="AX223" s="198">
        <f t="shared" si="183"/>
        <v>0</v>
      </c>
      <c r="AY223" s="190">
        <v>0</v>
      </c>
      <c r="AZ223" s="214">
        <f t="shared" si="184"/>
        <v>0.0445</v>
      </c>
      <c r="BA223" s="269">
        <f t="shared" si="185"/>
        <v>0</v>
      </c>
      <c r="BB223" s="269">
        <f t="shared" si="189"/>
        <v>0</v>
      </c>
      <c r="BC223" s="198">
        <f t="shared" si="186"/>
        <v>0</v>
      </c>
      <c r="BD223" s="199">
        <f t="shared" si="187"/>
        <v>0</v>
      </c>
      <c r="BE223" s="235" t="s">
        <v>442</v>
      </c>
      <c r="BF223" s="446" t="s">
        <v>443</v>
      </c>
      <c r="BG223" s="446"/>
      <c r="BH223" s="22"/>
      <c r="BI223" s="200">
        <f aca="true" t="shared" si="230" ref="BI223:BI254">BD223</f>
        <v>0</v>
      </c>
      <c r="BJ223" s="200">
        <f>ROUND(BI223*$S$19,2)</f>
        <v>0</v>
      </c>
      <c r="BK223" s="197">
        <f aca="true" t="shared" si="231" ref="BK223:BK254">ROUND(SUM(BI223:BJ223)*$AA$19,2)</f>
        <v>0</v>
      </c>
      <c r="BL223" s="197">
        <f aca="true" t="shared" si="232" ref="BL223:BL254">ROUND(SUM(BI223:BJ223)*$AA$21,2)</f>
        <v>0</v>
      </c>
      <c r="BM223" s="197">
        <f aca="true" t="shared" si="233" ref="BM223:BM254">ROUND(SUM(BI223:BJ223)*$AA$20,2)</f>
        <v>0</v>
      </c>
      <c r="BN223" s="201">
        <f aca="true" t="shared" si="234" ref="BN223:BN254">ROUND(BI223*$S$20,2)</f>
        <v>0</v>
      </c>
      <c r="BO223" s="202">
        <f aca="true" t="shared" si="235" ref="BO223:BO254">SUM(BI223:BN223)</f>
        <v>0</v>
      </c>
      <c r="BP223" s="203">
        <f>ROUND(BO223*$S$21,2)</f>
        <v>0</v>
      </c>
      <c r="BQ223" s="204">
        <f aca="true" t="shared" si="236" ref="BQ223:BQ254">SUM(BO223:BP223)</f>
        <v>0</v>
      </c>
      <c r="BR223" s="205">
        <f>ROUND(BQ223*$AD$19/95,2)</f>
        <v>0</v>
      </c>
      <c r="BS223" s="206">
        <f aca="true" t="shared" si="237" ref="BS223:BS254">SUM(BQ223:BR223)</f>
        <v>0</v>
      </c>
      <c r="BT223" s="24"/>
    </row>
    <row r="224" spans="1:72" ht="38.25" customHeight="1">
      <c r="A224" s="84"/>
      <c r="B224" s="235" t="s">
        <v>444</v>
      </c>
      <c r="C224" s="236" t="s">
        <v>445</v>
      </c>
      <c r="D224" s="78" t="s">
        <v>53</v>
      </c>
      <c r="E224" s="307">
        <v>5</v>
      </c>
      <c r="F224" s="214">
        <f>$G$15</f>
        <v>0.0565</v>
      </c>
      <c r="G224" s="197">
        <f>ROUND(E224*F224,2)</f>
        <v>0.28</v>
      </c>
      <c r="H224" s="197">
        <f>ROUND(G224*($A$16+$A$17)/100,2)</f>
        <v>0</v>
      </c>
      <c r="I224" s="198">
        <f>SUM(G224:H224)</f>
        <v>0.28</v>
      </c>
      <c r="J224" s="257">
        <v>5</v>
      </c>
      <c r="K224" s="214">
        <f>$G$18</f>
        <v>0.0445</v>
      </c>
      <c r="L224" s="197">
        <f>ROUND(J224*K224,2)</f>
        <v>0.22</v>
      </c>
      <c r="M224" s="197">
        <f>ROUND(L224*($A$16+$A$17)/100,2)</f>
        <v>0</v>
      </c>
      <c r="N224" s="198">
        <f>SUM(L224:M224)</f>
        <v>0.22</v>
      </c>
      <c r="O224" s="199">
        <f>SUM(I224,N224)</f>
        <v>0.5</v>
      </c>
      <c r="P224" s="235" t="s">
        <v>444</v>
      </c>
      <c r="Q224" s="446" t="s">
        <v>445</v>
      </c>
      <c r="R224" s="446"/>
      <c r="S224" s="76"/>
      <c r="T224" s="22" t="s">
        <v>54</v>
      </c>
      <c r="U224" s="200">
        <f>O224</f>
        <v>0.5</v>
      </c>
      <c r="V224" s="200">
        <f>ROUND(U224*$S$19,2)</f>
        <v>0.05</v>
      </c>
      <c r="W224" s="197">
        <f>ROUND(SUM(U224:V224)*$AA$19,2)</f>
        <v>0.19</v>
      </c>
      <c r="X224" s="197">
        <f>ROUND(SUM(U224:V224)*$AA$21,2)</f>
        <v>0</v>
      </c>
      <c r="Y224" s="197">
        <f>ROUND(SUM(U224:V224)*$AA$20,2)</f>
        <v>0.01</v>
      </c>
      <c r="Z224" s="201">
        <f>ROUND(U224*$S$20,2)</f>
        <v>0.55</v>
      </c>
      <c r="AA224" s="202">
        <f>SUM(U224:Z224)</f>
        <v>1.3</v>
      </c>
      <c r="AB224" s="203">
        <f>ROUND(AA224*$S$21,2)</f>
        <v>0.39</v>
      </c>
      <c r="AC224" s="204">
        <f>SUM(AA224:AB224)</f>
        <v>1.69</v>
      </c>
      <c r="AD224" s="205">
        <f>ROUND(AC224*$AD$19/95,2)</f>
        <v>0.09</v>
      </c>
      <c r="AE224" s="206">
        <f>SUM(AC224:AD224)</f>
        <v>1.78</v>
      </c>
      <c r="AF224" s="84"/>
      <c r="AG224" s="235" t="s">
        <v>444</v>
      </c>
      <c r="AH224" s="446" t="s">
        <v>445</v>
      </c>
      <c r="AI224" s="446"/>
      <c r="AJ224" s="78"/>
      <c r="AK224" s="78"/>
      <c r="AL224" s="207">
        <f>AE224</f>
        <v>1.78</v>
      </c>
      <c r="AM224" s="207"/>
      <c r="AN224" s="207">
        <f>BS224</f>
        <v>0.9299999999999999</v>
      </c>
      <c r="AO224" s="19"/>
      <c r="AP224" s="84"/>
      <c r="AQ224" s="235" t="s">
        <v>444</v>
      </c>
      <c r="AR224" s="446" t="s">
        <v>445</v>
      </c>
      <c r="AS224" s="446"/>
      <c r="AT224" s="29">
        <v>3</v>
      </c>
      <c r="AU224" s="214">
        <f t="shared" si="181"/>
        <v>0.0565</v>
      </c>
      <c r="AV224" s="269">
        <f t="shared" si="182"/>
        <v>0.17</v>
      </c>
      <c r="AW224" s="269">
        <f t="shared" si="188"/>
        <v>0</v>
      </c>
      <c r="AX224" s="198">
        <f t="shared" si="183"/>
        <v>0.17</v>
      </c>
      <c r="AY224" s="307">
        <v>2</v>
      </c>
      <c r="AZ224" s="214">
        <f t="shared" si="184"/>
        <v>0.0445</v>
      </c>
      <c r="BA224" s="269">
        <f t="shared" si="185"/>
        <v>0.09</v>
      </c>
      <c r="BB224" s="269">
        <f t="shared" si="189"/>
        <v>0</v>
      </c>
      <c r="BC224" s="198">
        <f t="shared" si="186"/>
        <v>0.09</v>
      </c>
      <c r="BD224" s="199">
        <f t="shared" si="187"/>
        <v>0.26</v>
      </c>
      <c r="BE224" s="235" t="s">
        <v>444</v>
      </c>
      <c r="BF224" s="446" t="s">
        <v>445</v>
      </c>
      <c r="BG224" s="446"/>
      <c r="BH224" s="22"/>
      <c r="BI224" s="200">
        <f t="shared" si="230"/>
        <v>0.26</v>
      </c>
      <c r="BJ224" s="200">
        <f>ROUND(BI224*$S$19,2)</f>
        <v>0.03</v>
      </c>
      <c r="BK224" s="197">
        <f t="shared" si="231"/>
        <v>0.1</v>
      </c>
      <c r="BL224" s="197">
        <f t="shared" si="232"/>
        <v>0</v>
      </c>
      <c r="BM224" s="197">
        <f t="shared" si="233"/>
        <v>0</v>
      </c>
      <c r="BN224" s="201">
        <f t="shared" si="234"/>
        <v>0.29</v>
      </c>
      <c r="BO224" s="202">
        <f t="shared" si="235"/>
        <v>0.6799999999999999</v>
      </c>
      <c r="BP224" s="203">
        <f>ROUND(BO224*$S$21,2)</f>
        <v>0.2</v>
      </c>
      <c r="BQ224" s="204">
        <f t="shared" si="236"/>
        <v>0.8799999999999999</v>
      </c>
      <c r="BR224" s="205">
        <f>ROUND(BQ224*$AD$19/95,2)</f>
        <v>0.05</v>
      </c>
      <c r="BS224" s="206">
        <f t="shared" si="237"/>
        <v>0.9299999999999999</v>
      </c>
      <c r="BT224" s="84"/>
    </row>
    <row r="225" spans="1:72" ht="27.75" customHeight="1">
      <c r="A225" s="84"/>
      <c r="B225" s="239" t="s">
        <v>446</v>
      </c>
      <c r="C225" s="240" t="s">
        <v>447</v>
      </c>
      <c r="D225" s="251"/>
      <c r="E225" s="255"/>
      <c r="F225" s="256"/>
      <c r="G225" s="253"/>
      <c r="H225" s="253"/>
      <c r="I225" s="254"/>
      <c r="J225" s="255"/>
      <c r="K225" s="255"/>
      <c r="L225" s="253"/>
      <c r="M225" s="253"/>
      <c r="N225" s="254"/>
      <c r="O225" s="220"/>
      <c r="P225" s="239" t="s">
        <v>446</v>
      </c>
      <c r="Q225" s="437" t="s">
        <v>447</v>
      </c>
      <c r="R225" s="437"/>
      <c r="S225" s="76"/>
      <c r="T225" s="219"/>
      <c r="U225" s="253"/>
      <c r="V225" s="253"/>
      <c r="W225" s="253"/>
      <c r="X225" s="253"/>
      <c r="Y225" s="253"/>
      <c r="Z225" s="253"/>
      <c r="AA225" s="253"/>
      <c r="AB225" s="253"/>
      <c r="AC225" s="253"/>
      <c r="AD225" s="253"/>
      <c r="AE225" s="220"/>
      <c r="AF225" s="84"/>
      <c r="AG225" s="239" t="s">
        <v>446</v>
      </c>
      <c r="AH225" s="437" t="s">
        <v>447</v>
      </c>
      <c r="AI225" s="437"/>
      <c r="AJ225" s="78"/>
      <c r="AK225" s="78"/>
      <c r="AL225" s="207"/>
      <c r="AM225" s="207"/>
      <c r="AN225" s="207"/>
      <c r="AO225" s="19"/>
      <c r="AP225" s="84"/>
      <c r="AQ225" s="239" t="s">
        <v>446</v>
      </c>
      <c r="AR225" s="437" t="s">
        <v>447</v>
      </c>
      <c r="AS225" s="437"/>
      <c r="AT225" s="29"/>
      <c r="AU225" s="252"/>
      <c r="AV225" s="254"/>
      <c r="AW225" s="254"/>
      <c r="AX225" s="254"/>
      <c r="AY225" s="252"/>
      <c r="AZ225" s="256"/>
      <c r="BA225" s="254"/>
      <c r="BB225" s="254"/>
      <c r="BC225" s="254"/>
      <c r="BD225" s="220"/>
      <c r="BE225" s="239" t="s">
        <v>446</v>
      </c>
      <c r="BF225" s="437" t="s">
        <v>447</v>
      </c>
      <c r="BG225" s="437"/>
      <c r="BH225" s="219"/>
      <c r="BI225" s="253"/>
      <c r="BJ225" s="253"/>
      <c r="BK225" s="253"/>
      <c r="BL225" s="253"/>
      <c r="BM225" s="253"/>
      <c r="BN225" s="253"/>
      <c r="BO225" s="253"/>
      <c r="BP225" s="253"/>
      <c r="BQ225" s="253"/>
      <c r="BR225" s="253"/>
      <c r="BS225" s="220"/>
      <c r="BT225" s="84"/>
    </row>
    <row r="226" spans="1:72" ht="17.25" customHeight="1">
      <c r="A226" s="84"/>
      <c r="B226" s="237" t="s">
        <v>989</v>
      </c>
      <c r="C226" s="363" t="s">
        <v>996</v>
      </c>
      <c r="D226" s="78" t="s">
        <v>53</v>
      </c>
      <c r="E226" s="190">
        <v>100</v>
      </c>
      <c r="F226" s="214">
        <f aca="true" t="shared" si="238" ref="F226:F234">$G$15</f>
        <v>0.0565</v>
      </c>
      <c r="G226" s="197">
        <f aca="true" t="shared" si="239" ref="G226:G234">ROUND(E226*F226,2)</f>
        <v>5.65</v>
      </c>
      <c r="H226" s="197">
        <f aca="true" t="shared" si="240" ref="H226:H234">ROUND(G226*($A$16+$A$17)/100,2)</f>
        <v>0</v>
      </c>
      <c r="I226" s="198">
        <f aca="true" t="shared" si="241" ref="I226:I234">SUM(G226:H226)</f>
        <v>5.65</v>
      </c>
      <c r="J226" s="257">
        <v>50</v>
      </c>
      <c r="K226" s="214">
        <f aca="true" t="shared" si="242" ref="K226:K234">$G$20</f>
        <v>0.0442</v>
      </c>
      <c r="L226" s="197">
        <f aca="true" t="shared" si="243" ref="L226:L234">ROUND(J226*K226,2)</f>
        <v>2.21</v>
      </c>
      <c r="M226" s="197">
        <f aca="true" t="shared" si="244" ref="M226:M234">ROUND(L226*($A$16+$A$17)/100,2)</f>
        <v>0</v>
      </c>
      <c r="N226" s="198">
        <f aca="true" t="shared" si="245" ref="N226:N234">SUM(L226:M226)</f>
        <v>2.21</v>
      </c>
      <c r="O226" s="199">
        <f aca="true" t="shared" si="246" ref="O226:O234">SUM(I226,N226)</f>
        <v>7.86</v>
      </c>
      <c r="P226" s="237" t="s">
        <v>989</v>
      </c>
      <c r="Q226" s="443" t="s">
        <v>996</v>
      </c>
      <c r="R226" s="443"/>
      <c r="S226" s="76"/>
      <c r="T226" s="22" t="s">
        <v>54</v>
      </c>
      <c r="U226" s="200">
        <f aca="true" t="shared" si="247" ref="U226:U234">O226</f>
        <v>7.86</v>
      </c>
      <c r="V226" s="200">
        <f aca="true" t="shared" si="248" ref="V226:V234">ROUND(U226*$S$19,2)</f>
        <v>0.81</v>
      </c>
      <c r="W226" s="197">
        <f aca="true" t="shared" si="249" ref="W226:W234">ROUND(SUM(U226:V226)*$AA$19,2)</f>
        <v>2.95</v>
      </c>
      <c r="X226" s="197">
        <f aca="true" t="shared" si="250" ref="X226:X234">ROUND(SUM(U226:V226)*$AA$21,2)</f>
        <v>0.01</v>
      </c>
      <c r="Y226" s="197">
        <f aca="true" t="shared" si="251" ref="Y226:Y234">ROUND(SUM(U226:V226)*$AA$20,2)</f>
        <v>0.13</v>
      </c>
      <c r="Z226" s="201">
        <f aca="true" t="shared" si="252" ref="Z226:Z234">ROUND(U226*$S$20,2)</f>
        <v>8.63</v>
      </c>
      <c r="AA226" s="202">
        <f aca="true" t="shared" si="253" ref="AA226:AA234">SUM(U226:Z226)</f>
        <v>20.39</v>
      </c>
      <c r="AB226" s="203">
        <f aca="true" t="shared" si="254" ref="AB226:AB234">ROUND(AA226*$S$21,2)</f>
        <v>6.12</v>
      </c>
      <c r="AC226" s="204">
        <f aca="true" t="shared" si="255" ref="AC226:AC234">SUM(AA226:AB226)</f>
        <v>26.51</v>
      </c>
      <c r="AD226" s="205">
        <f aca="true" t="shared" si="256" ref="AD226:AD234">ROUND(AC226*$AD$19/95,2)</f>
        <v>1.4</v>
      </c>
      <c r="AE226" s="206">
        <f aca="true" t="shared" si="257" ref="AE226:AE234">SUM(AC226:AD226)</f>
        <v>27.91</v>
      </c>
      <c r="AF226" s="84"/>
      <c r="AG226" s="237" t="s">
        <v>989</v>
      </c>
      <c r="AH226" s="363" t="s">
        <v>996</v>
      </c>
      <c r="AI226" s="363"/>
      <c r="AJ226" s="78" t="s">
        <v>54</v>
      </c>
      <c r="AK226" s="78"/>
      <c r="AL226" s="207">
        <f aca="true" t="shared" si="258" ref="AL226:AL234">AE226</f>
        <v>27.91</v>
      </c>
      <c r="AM226" s="207"/>
      <c r="AN226" s="207">
        <f aca="true" t="shared" si="259" ref="AN226:AN234">BS226</f>
        <v>16.549999999999997</v>
      </c>
      <c r="AO226" s="19"/>
      <c r="AP226" s="84"/>
      <c r="AQ226" s="237" t="s">
        <v>989</v>
      </c>
      <c r="AR226" s="363" t="s">
        <v>996</v>
      </c>
      <c r="AS226" s="363"/>
      <c r="AT226" s="29">
        <v>55</v>
      </c>
      <c r="AU226" s="29">
        <f aca="true" t="shared" si="260" ref="AU226:AU243">$AV$15</f>
        <v>0.0565</v>
      </c>
      <c r="AV226" s="269">
        <f>ROUND(AT226*AU226,2)</f>
        <v>3.11</v>
      </c>
      <c r="AW226" s="269">
        <f>ROUND(AV226*($A$16+$A$17)/100,2)</f>
        <v>0</v>
      </c>
      <c r="AX226" s="198">
        <f>SUM(AV226:AW226)</f>
        <v>3.11</v>
      </c>
      <c r="AY226" s="29">
        <v>35</v>
      </c>
      <c r="AZ226" s="214">
        <f aca="true" t="shared" si="261" ref="AZ226:AZ243">$AV$20</f>
        <v>0.0442</v>
      </c>
      <c r="BA226" s="269">
        <f>ROUND(AY226*AZ226,2)</f>
        <v>1.55</v>
      </c>
      <c r="BB226" s="269">
        <f>ROUND(BA226*($A$16+$A$17)/100,2)</f>
        <v>0</v>
      </c>
      <c r="BC226" s="198">
        <f>SUM(BA226:BB226)</f>
        <v>1.55</v>
      </c>
      <c r="BD226" s="199">
        <f>SUM(AX226,BC226)</f>
        <v>4.66</v>
      </c>
      <c r="BE226" s="237" t="s">
        <v>989</v>
      </c>
      <c r="BF226" s="363" t="s">
        <v>996</v>
      </c>
      <c r="BG226" s="363" t="s">
        <v>996</v>
      </c>
      <c r="BH226" s="22" t="s">
        <v>54</v>
      </c>
      <c r="BI226" s="200">
        <f>BD226</f>
        <v>4.66</v>
      </c>
      <c r="BJ226" s="200">
        <f aca="true" t="shared" si="262" ref="BJ226:BJ234">ROUND(BI226*$S$19,2)</f>
        <v>0.48</v>
      </c>
      <c r="BK226" s="197">
        <f>ROUND(SUM(BI226:BJ226)*$AA$19,2)</f>
        <v>1.75</v>
      </c>
      <c r="BL226" s="197">
        <f>ROUND(SUM(BI226:BJ226)*$AA$21,2)</f>
        <v>0</v>
      </c>
      <c r="BM226" s="197">
        <f>ROUND(SUM(BI226:BJ226)*$AA$20,2)</f>
        <v>0.08</v>
      </c>
      <c r="BN226" s="201">
        <f>ROUND(BI226*$S$20,2)</f>
        <v>5.12</v>
      </c>
      <c r="BO226" s="202">
        <f>SUM(BI226:BN226)</f>
        <v>12.09</v>
      </c>
      <c r="BP226" s="203">
        <f aca="true" t="shared" si="263" ref="BP226:BP234">ROUND(BO226*$S$21,2)</f>
        <v>3.63</v>
      </c>
      <c r="BQ226" s="204">
        <f>SUM(BO226:BP226)</f>
        <v>15.719999999999999</v>
      </c>
      <c r="BR226" s="205">
        <f aca="true" t="shared" si="264" ref="BR226:BR234">ROUND(BQ226*$AD$19/95,2)</f>
        <v>0.83</v>
      </c>
      <c r="BS226" s="206">
        <f>SUM(BQ226:BR226)</f>
        <v>16.549999999999997</v>
      </c>
      <c r="BT226" s="84"/>
    </row>
    <row r="227" spans="1:72" ht="40.5" customHeight="1">
      <c r="A227" s="84"/>
      <c r="B227" s="237" t="s">
        <v>990</v>
      </c>
      <c r="C227" s="363" t="s">
        <v>997</v>
      </c>
      <c r="D227" s="78" t="s">
        <v>53</v>
      </c>
      <c r="E227" s="190">
        <v>100</v>
      </c>
      <c r="F227" s="214">
        <f t="shared" si="238"/>
        <v>0.0565</v>
      </c>
      <c r="G227" s="197">
        <f t="shared" si="239"/>
        <v>5.65</v>
      </c>
      <c r="H227" s="197">
        <f t="shared" si="240"/>
        <v>0</v>
      </c>
      <c r="I227" s="198">
        <f t="shared" si="241"/>
        <v>5.65</v>
      </c>
      <c r="J227" s="257">
        <v>45</v>
      </c>
      <c r="K227" s="214">
        <f t="shared" si="242"/>
        <v>0.0442</v>
      </c>
      <c r="L227" s="197">
        <f t="shared" si="243"/>
        <v>1.99</v>
      </c>
      <c r="M227" s="197">
        <f t="shared" si="244"/>
        <v>0</v>
      </c>
      <c r="N227" s="198">
        <f t="shared" si="245"/>
        <v>1.99</v>
      </c>
      <c r="O227" s="199">
        <f t="shared" si="246"/>
        <v>7.640000000000001</v>
      </c>
      <c r="P227" s="237" t="s">
        <v>990</v>
      </c>
      <c r="Q227" s="443" t="s">
        <v>997</v>
      </c>
      <c r="R227" s="443"/>
      <c r="S227" s="76"/>
      <c r="T227" s="22" t="s">
        <v>54</v>
      </c>
      <c r="U227" s="200">
        <f t="shared" si="247"/>
        <v>7.640000000000001</v>
      </c>
      <c r="V227" s="200">
        <f t="shared" si="248"/>
        <v>0.79</v>
      </c>
      <c r="W227" s="197">
        <f t="shared" si="249"/>
        <v>2.87</v>
      </c>
      <c r="X227" s="197">
        <f t="shared" si="250"/>
        <v>0.01</v>
      </c>
      <c r="Y227" s="197">
        <f t="shared" si="251"/>
        <v>0.13</v>
      </c>
      <c r="Z227" s="201">
        <f t="shared" si="252"/>
        <v>8.39</v>
      </c>
      <c r="AA227" s="202">
        <f t="shared" si="253"/>
        <v>19.830000000000002</v>
      </c>
      <c r="AB227" s="203">
        <f t="shared" si="254"/>
        <v>5.95</v>
      </c>
      <c r="AC227" s="204">
        <f t="shared" si="255"/>
        <v>25.78</v>
      </c>
      <c r="AD227" s="205">
        <f t="shared" si="256"/>
        <v>1.36</v>
      </c>
      <c r="AE227" s="206">
        <f t="shared" si="257"/>
        <v>27.14</v>
      </c>
      <c r="AF227" s="84"/>
      <c r="AG227" s="237" t="s">
        <v>990</v>
      </c>
      <c r="AH227" s="363" t="s">
        <v>997</v>
      </c>
      <c r="AI227" s="363"/>
      <c r="AJ227" s="78" t="s">
        <v>54</v>
      </c>
      <c r="AK227" s="78"/>
      <c r="AL227" s="207">
        <f t="shared" si="258"/>
        <v>27.14</v>
      </c>
      <c r="AM227" s="207"/>
      <c r="AN227" s="207">
        <f t="shared" si="259"/>
        <v>13.99</v>
      </c>
      <c r="AO227" s="19"/>
      <c r="AP227" s="84"/>
      <c r="AQ227" s="237" t="s">
        <v>990</v>
      </c>
      <c r="AR227" s="363" t="s">
        <v>997</v>
      </c>
      <c r="AS227" s="363"/>
      <c r="AT227" s="29">
        <v>50</v>
      </c>
      <c r="AU227" s="29">
        <f t="shared" si="260"/>
        <v>0.0565</v>
      </c>
      <c r="AV227" s="269">
        <f>ROUND(AT227*AU227,2)</f>
        <v>2.83</v>
      </c>
      <c r="AW227" s="269">
        <f>ROUND(AV227*($A$16+$A$17)/100,2)</f>
        <v>0</v>
      </c>
      <c r="AX227" s="198">
        <f>SUM(AV227:AW227)</f>
        <v>2.83</v>
      </c>
      <c r="AY227" s="29">
        <v>25</v>
      </c>
      <c r="AZ227" s="214">
        <f t="shared" si="261"/>
        <v>0.0442</v>
      </c>
      <c r="BA227" s="269">
        <f>ROUND(AY227*AZ227,2)</f>
        <v>1.11</v>
      </c>
      <c r="BB227" s="269">
        <f>ROUND(BA227*($A$16+$A$17)/100,2)</f>
        <v>0</v>
      </c>
      <c r="BC227" s="198">
        <f>SUM(BA227:BB227)</f>
        <v>1.11</v>
      </c>
      <c r="BD227" s="199">
        <f>SUM(AX227,BC227)</f>
        <v>3.9400000000000004</v>
      </c>
      <c r="BE227" s="237" t="s">
        <v>990</v>
      </c>
      <c r="BF227" s="363" t="s">
        <v>997</v>
      </c>
      <c r="BG227" s="363" t="s">
        <v>997</v>
      </c>
      <c r="BH227" s="22" t="s">
        <v>54</v>
      </c>
      <c r="BI227" s="200">
        <f>BD227</f>
        <v>3.9400000000000004</v>
      </c>
      <c r="BJ227" s="200">
        <f t="shared" si="262"/>
        <v>0.41</v>
      </c>
      <c r="BK227" s="197">
        <f>ROUND(SUM(BI227:BJ227)*$AA$19,2)</f>
        <v>1.48</v>
      </c>
      <c r="BL227" s="197">
        <f>ROUND(SUM(BI227:BJ227)*$AA$21,2)</f>
        <v>0</v>
      </c>
      <c r="BM227" s="197">
        <f>ROUND(SUM(BI227:BJ227)*$AA$20,2)</f>
        <v>0.07</v>
      </c>
      <c r="BN227" s="201">
        <f>ROUND(BI227*$S$20,2)</f>
        <v>4.32</v>
      </c>
      <c r="BO227" s="202">
        <f>SUM(BI227:BN227)</f>
        <v>10.22</v>
      </c>
      <c r="BP227" s="203">
        <f t="shared" si="263"/>
        <v>3.07</v>
      </c>
      <c r="BQ227" s="204">
        <f>SUM(BO227:BP227)</f>
        <v>13.290000000000001</v>
      </c>
      <c r="BR227" s="205">
        <f t="shared" si="264"/>
        <v>0.7</v>
      </c>
      <c r="BS227" s="206">
        <f>SUM(BQ227:BR227)</f>
        <v>13.99</v>
      </c>
      <c r="BT227" s="84"/>
    </row>
    <row r="228" spans="1:72" ht="15.75" customHeight="1">
      <c r="A228" s="84"/>
      <c r="B228" s="237" t="s">
        <v>991</v>
      </c>
      <c r="C228" s="363" t="s">
        <v>998</v>
      </c>
      <c r="D228" s="78" t="s">
        <v>53</v>
      </c>
      <c r="E228" s="190">
        <v>105</v>
      </c>
      <c r="F228" s="214">
        <f t="shared" si="238"/>
        <v>0.0565</v>
      </c>
      <c r="G228" s="197">
        <f t="shared" si="239"/>
        <v>5.93</v>
      </c>
      <c r="H228" s="197">
        <f t="shared" si="240"/>
        <v>0</v>
      </c>
      <c r="I228" s="198">
        <f t="shared" si="241"/>
        <v>5.93</v>
      </c>
      <c r="J228" s="257">
        <v>65</v>
      </c>
      <c r="K228" s="214">
        <f t="shared" si="242"/>
        <v>0.0442</v>
      </c>
      <c r="L228" s="197">
        <f t="shared" si="243"/>
        <v>2.87</v>
      </c>
      <c r="M228" s="197">
        <f t="shared" si="244"/>
        <v>0</v>
      </c>
      <c r="N228" s="198">
        <f t="shared" si="245"/>
        <v>2.87</v>
      </c>
      <c r="O228" s="199">
        <f t="shared" si="246"/>
        <v>8.8</v>
      </c>
      <c r="P228" s="237" t="s">
        <v>991</v>
      </c>
      <c r="Q228" s="443" t="s">
        <v>998</v>
      </c>
      <c r="R228" s="443"/>
      <c r="S228" s="76"/>
      <c r="T228" s="22" t="s">
        <v>54</v>
      </c>
      <c r="U228" s="200">
        <f t="shared" si="247"/>
        <v>8.8</v>
      </c>
      <c r="V228" s="200">
        <f t="shared" si="248"/>
        <v>0.91</v>
      </c>
      <c r="W228" s="197">
        <f t="shared" si="249"/>
        <v>3.3</v>
      </c>
      <c r="X228" s="197">
        <f t="shared" si="250"/>
        <v>0.01</v>
      </c>
      <c r="Y228" s="197">
        <f t="shared" si="251"/>
        <v>0.15</v>
      </c>
      <c r="Z228" s="201">
        <f t="shared" si="252"/>
        <v>9.66</v>
      </c>
      <c r="AA228" s="202">
        <f t="shared" si="253"/>
        <v>22.830000000000002</v>
      </c>
      <c r="AB228" s="203">
        <f t="shared" si="254"/>
        <v>6.85</v>
      </c>
      <c r="AC228" s="204">
        <f t="shared" si="255"/>
        <v>29.68</v>
      </c>
      <c r="AD228" s="205">
        <f t="shared" si="256"/>
        <v>1.56</v>
      </c>
      <c r="AE228" s="206">
        <f t="shared" si="257"/>
        <v>31.24</v>
      </c>
      <c r="AF228" s="84"/>
      <c r="AG228" s="237" t="s">
        <v>991</v>
      </c>
      <c r="AH228" s="363" t="s">
        <v>998</v>
      </c>
      <c r="AI228" s="363"/>
      <c r="AJ228" s="78" t="s">
        <v>54</v>
      </c>
      <c r="AK228" s="78"/>
      <c r="AL228" s="207">
        <f t="shared" si="258"/>
        <v>31.24</v>
      </c>
      <c r="AM228" s="207"/>
      <c r="AN228" s="207">
        <f t="shared" si="259"/>
        <v>18.089999999999996</v>
      </c>
      <c r="AO228" s="19"/>
      <c r="AP228" s="84"/>
      <c r="AQ228" s="237" t="s">
        <v>991</v>
      </c>
      <c r="AR228" s="363" t="s">
        <v>998</v>
      </c>
      <c r="AS228" s="363"/>
      <c r="AT228" s="29">
        <v>55</v>
      </c>
      <c r="AU228" s="29">
        <f t="shared" si="260"/>
        <v>0.0565</v>
      </c>
      <c r="AV228" s="269">
        <f>ROUND(AT228*AU228,2)</f>
        <v>3.11</v>
      </c>
      <c r="AW228" s="269">
        <f>ROUND(AV228*($A$16+$A$17)/100,2)</f>
        <v>0</v>
      </c>
      <c r="AX228" s="198">
        <f>SUM(AV228:AW228)</f>
        <v>3.11</v>
      </c>
      <c r="AY228" s="29">
        <v>45</v>
      </c>
      <c r="AZ228" s="214">
        <f t="shared" si="261"/>
        <v>0.0442</v>
      </c>
      <c r="BA228" s="269">
        <f>ROUND(AY228*AZ228,2)</f>
        <v>1.99</v>
      </c>
      <c r="BB228" s="269">
        <f>ROUND(BA228*($A$16+$A$17)/100,2)</f>
        <v>0</v>
      </c>
      <c r="BC228" s="198">
        <f>SUM(BA228:BB228)</f>
        <v>1.99</v>
      </c>
      <c r="BD228" s="199">
        <f>SUM(AX228,BC228)</f>
        <v>5.1</v>
      </c>
      <c r="BE228" s="237" t="s">
        <v>991</v>
      </c>
      <c r="BF228" s="363" t="s">
        <v>998</v>
      </c>
      <c r="BG228" s="363" t="s">
        <v>998</v>
      </c>
      <c r="BH228" s="22" t="s">
        <v>54</v>
      </c>
      <c r="BI228" s="200">
        <f>BD228</f>
        <v>5.1</v>
      </c>
      <c r="BJ228" s="200">
        <f t="shared" si="262"/>
        <v>0.53</v>
      </c>
      <c r="BK228" s="197">
        <f>ROUND(SUM(BI228:BJ228)*$AA$19,2)</f>
        <v>1.91</v>
      </c>
      <c r="BL228" s="197">
        <f>ROUND(SUM(BI228:BJ228)*$AA$21,2)</f>
        <v>0</v>
      </c>
      <c r="BM228" s="197">
        <f>ROUND(SUM(BI228:BJ228)*$AA$20,2)</f>
        <v>0.08</v>
      </c>
      <c r="BN228" s="201">
        <f>ROUND(BI228*$S$20,2)</f>
        <v>5.6</v>
      </c>
      <c r="BO228" s="202">
        <f>SUM(BI228:BN228)</f>
        <v>13.219999999999999</v>
      </c>
      <c r="BP228" s="203">
        <f t="shared" si="263"/>
        <v>3.97</v>
      </c>
      <c r="BQ228" s="204">
        <f>SUM(BO228:BP228)</f>
        <v>17.189999999999998</v>
      </c>
      <c r="BR228" s="205">
        <f t="shared" si="264"/>
        <v>0.9</v>
      </c>
      <c r="BS228" s="206">
        <f>SUM(BQ228:BR228)</f>
        <v>18.089999999999996</v>
      </c>
      <c r="BT228" s="84"/>
    </row>
    <row r="229" spans="1:72" ht="17.25" customHeight="1">
      <c r="A229" s="84"/>
      <c r="B229" s="237" t="s">
        <v>720</v>
      </c>
      <c r="C229" s="363" t="s">
        <v>721</v>
      </c>
      <c r="D229" s="78" t="s">
        <v>53</v>
      </c>
      <c r="E229" s="190">
        <v>0</v>
      </c>
      <c r="F229" s="214">
        <f t="shared" si="238"/>
        <v>0.0565</v>
      </c>
      <c r="G229" s="197">
        <f t="shared" si="239"/>
        <v>0</v>
      </c>
      <c r="H229" s="197">
        <f t="shared" si="240"/>
        <v>0</v>
      </c>
      <c r="I229" s="198">
        <f t="shared" si="241"/>
        <v>0</v>
      </c>
      <c r="J229" s="257">
        <v>100</v>
      </c>
      <c r="K229" s="214">
        <f t="shared" si="242"/>
        <v>0.0442</v>
      </c>
      <c r="L229" s="197">
        <f t="shared" si="243"/>
        <v>4.42</v>
      </c>
      <c r="M229" s="197">
        <f t="shared" si="244"/>
        <v>0</v>
      </c>
      <c r="N229" s="198">
        <f t="shared" si="245"/>
        <v>4.42</v>
      </c>
      <c r="O229" s="199">
        <f t="shared" si="246"/>
        <v>4.42</v>
      </c>
      <c r="P229" s="237" t="s">
        <v>720</v>
      </c>
      <c r="Q229" s="443" t="s">
        <v>721</v>
      </c>
      <c r="R229" s="443"/>
      <c r="S229" s="76"/>
      <c r="T229" s="22" t="s">
        <v>54</v>
      </c>
      <c r="U229" s="200">
        <f t="shared" si="247"/>
        <v>4.42</v>
      </c>
      <c r="V229" s="200">
        <f t="shared" si="248"/>
        <v>0.46</v>
      </c>
      <c r="W229" s="197">
        <f t="shared" si="249"/>
        <v>1.66</v>
      </c>
      <c r="X229" s="197">
        <f t="shared" si="250"/>
        <v>0</v>
      </c>
      <c r="Y229" s="197">
        <f t="shared" si="251"/>
        <v>0.07</v>
      </c>
      <c r="Z229" s="201">
        <f t="shared" si="252"/>
        <v>4.85</v>
      </c>
      <c r="AA229" s="202">
        <f t="shared" si="253"/>
        <v>11.46</v>
      </c>
      <c r="AB229" s="203">
        <f t="shared" si="254"/>
        <v>3.44</v>
      </c>
      <c r="AC229" s="204">
        <f t="shared" si="255"/>
        <v>14.9</v>
      </c>
      <c r="AD229" s="205">
        <f t="shared" si="256"/>
        <v>0.78</v>
      </c>
      <c r="AE229" s="206">
        <f t="shared" si="257"/>
        <v>15.68</v>
      </c>
      <c r="AF229" s="84"/>
      <c r="AG229" s="237" t="s">
        <v>720</v>
      </c>
      <c r="AH229" s="363" t="s">
        <v>721</v>
      </c>
      <c r="AI229" s="363"/>
      <c r="AJ229" s="78" t="s">
        <v>54</v>
      </c>
      <c r="AK229" s="78"/>
      <c r="AL229" s="207">
        <f t="shared" si="258"/>
        <v>15.68</v>
      </c>
      <c r="AM229" s="207"/>
      <c r="AN229" s="207">
        <f t="shared" si="259"/>
        <v>7.06</v>
      </c>
      <c r="AO229" s="19"/>
      <c r="AP229" s="84"/>
      <c r="AQ229" s="237" t="s">
        <v>720</v>
      </c>
      <c r="AR229" s="363" t="s">
        <v>721</v>
      </c>
      <c r="AS229" s="363"/>
      <c r="AT229" s="29">
        <v>0</v>
      </c>
      <c r="AU229" s="29">
        <f t="shared" si="260"/>
        <v>0.0565</v>
      </c>
      <c r="AV229" s="269">
        <f>ROUND(AT229*AU229,2)</f>
        <v>0</v>
      </c>
      <c r="AW229" s="269">
        <f>ROUND(AV229*($A$16+$A$17)/100,2)</f>
        <v>0</v>
      </c>
      <c r="AX229" s="198">
        <f>SUM(AV229:AW229)</f>
        <v>0</v>
      </c>
      <c r="AY229" s="29">
        <v>45</v>
      </c>
      <c r="AZ229" s="214">
        <f t="shared" si="261"/>
        <v>0.0442</v>
      </c>
      <c r="BA229" s="269">
        <f>ROUND(AY229*AZ229,2)</f>
        <v>1.99</v>
      </c>
      <c r="BB229" s="269">
        <f>ROUND(BA229*($A$16+$A$17)/100,2)</f>
        <v>0</v>
      </c>
      <c r="BC229" s="198">
        <f>SUM(BA229:BB229)</f>
        <v>1.99</v>
      </c>
      <c r="BD229" s="199">
        <f>SUM(AX229,BC229)</f>
        <v>1.99</v>
      </c>
      <c r="BE229" s="237" t="s">
        <v>720</v>
      </c>
      <c r="BF229" s="363" t="s">
        <v>721</v>
      </c>
      <c r="BG229" s="363" t="s">
        <v>721</v>
      </c>
      <c r="BH229" s="22" t="s">
        <v>54</v>
      </c>
      <c r="BI229" s="200">
        <f>BD229</f>
        <v>1.99</v>
      </c>
      <c r="BJ229" s="200">
        <f t="shared" si="262"/>
        <v>0.21</v>
      </c>
      <c r="BK229" s="197">
        <f>ROUND(SUM(BI229:BJ229)*$AA$19,2)</f>
        <v>0.75</v>
      </c>
      <c r="BL229" s="197">
        <f>ROUND(SUM(BI229:BJ229)*$AA$21,2)</f>
        <v>0</v>
      </c>
      <c r="BM229" s="197">
        <f>ROUND(SUM(BI229:BJ229)*$AA$20,2)</f>
        <v>0.03</v>
      </c>
      <c r="BN229" s="201">
        <f>ROUND(BI229*$S$20,2)</f>
        <v>2.18</v>
      </c>
      <c r="BO229" s="202">
        <f>SUM(BI229:BN229)</f>
        <v>5.16</v>
      </c>
      <c r="BP229" s="203">
        <f t="shared" si="263"/>
        <v>1.55</v>
      </c>
      <c r="BQ229" s="204">
        <f>SUM(BO229:BP229)</f>
        <v>6.71</v>
      </c>
      <c r="BR229" s="205">
        <f t="shared" si="264"/>
        <v>0.35</v>
      </c>
      <c r="BS229" s="206">
        <f>SUM(BQ229:BR229)</f>
        <v>7.06</v>
      </c>
      <c r="BT229" s="84"/>
    </row>
    <row r="230" spans="1:72" ht="25.5" customHeight="1">
      <c r="A230" s="84"/>
      <c r="B230" s="237" t="s">
        <v>448</v>
      </c>
      <c r="C230" s="363" t="s">
        <v>449</v>
      </c>
      <c r="D230" s="78" t="s">
        <v>53</v>
      </c>
      <c r="E230" s="190">
        <v>0</v>
      </c>
      <c r="F230" s="214">
        <f t="shared" si="238"/>
        <v>0.0565</v>
      </c>
      <c r="G230" s="197">
        <f t="shared" si="239"/>
        <v>0</v>
      </c>
      <c r="H230" s="197">
        <f t="shared" si="240"/>
        <v>0</v>
      </c>
      <c r="I230" s="198">
        <f t="shared" si="241"/>
        <v>0</v>
      </c>
      <c r="J230" s="257">
        <v>90</v>
      </c>
      <c r="K230" s="214">
        <f t="shared" si="242"/>
        <v>0.0442</v>
      </c>
      <c r="L230" s="197">
        <f t="shared" si="243"/>
        <v>3.98</v>
      </c>
      <c r="M230" s="197">
        <f t="shared" si="244"/>
        <v>0</v>
      </c>
      <c r="N230" s="198">
        <f t="shared" si="245"/>
        <v>3.98</v>
      </c>
      <c r="O230" s="199">
        <f t="shared" si="246"/>
        <v>3.98</v>
      </c>
      <c r="P230" s="237" t="s">
        <v>448</v>
      </c>
      <c r="Q230" s="443" t="s">
        <v>449</v>
      </c>
      <c r="R230" s="443"/>
      <c r="S230" s="76"/>
      <c r="T230" s="22" t="s">
        <v>54</v>
      </c>
      <c r="U230" s="200">
        <f t="shared" si="247"/>
        <v>3.98</v>
      </c>
      <c r="V230" s="200">
        <f t="shared" si="248"/>
        <v>0.41</v>
      </c>
      <c r="W230" s="197">
        <f t="shared" si="249"/>
        <v>1.49</v>
      </c>
      <c r="X230" s="197">
        <f t="shared" si="250"/>
        <v>0</v>
      </c>
      <c r="Y230" s="197">
        <f t="shared" si="251"/>
        <v>0.07</v>
      </c>
      <c r="Z230" s="201">
        <f t="shared" si="252"/>
        <v>4.37</v>
      </c>
      <c r="AA230" s="202">
        <f t="shared" si="253"/>
        <v>10.32</v>
      </c>
      <c r="AB230" s="203">
        <f t="shared" si="254"/>
        <v>3.1</v>
      </c>
      <c r="AC230" s="204">
        <f t="shared" si="255"/>
        <v>13.42</v>
      </c>
      <c r="AD230" s="205">
        <f t="shared" si="256"/>
        <v>0.71</v>
      </c>
      <c r="AE230" s="206">
        <f t="shared" si="257"/>
        <v>14.129999999999999</v>
      </c>
      <c r="AF230" s="84"/>
      <c r="AG230" s="237" t="s">
        <v>448</v>
      </c>
      <c r="AH230" s="363" t="s">
        <v>449</v>
      </c>
      <c r="AI230" s="363"/>
      <c r="AJ230" s="78" t="s">
        <v>54</v>
      </c>
      <c r="AK230" s="78"/>
      <c r="AL230" s="207">
        <f t="shared" si="258"/>
        <v>14.129999999999999</v>
      </c>
      <c r="AM230" s="207"/>
      <c r="AN230" s="207">
        <f t="shared" si="259"/>
        <v>7.85</v>
      </c>
      <c r="AO230" s="19"/>
      <c r="AP230" s="84"/>
      <c r="AQ230" s="237" t="s">
        <v>448</v>
      </c>
      <c r="AR230" s="363" t="s">
        <v>449</v>
      </c>
      <c r="AS230" s="363"/>
      <c r="AT230" s="29">
        <v>0</v>
      </c>
      <c r="AU230" s="29">
        <f t="shared" si="260"/>
        <v>0.0565</v>
      </c>
      <c r="AV230" s="269">
        <f aca="true" t="shared" si="265" ref="AV230:AV243">ROUND(AT230*AU230,2)</f>
        <v>0</v>
      </c>
      <c r="AW230" s="269">
        <f aca="true" t="shared" si="266" ref="AW230:AW243">ROUND(AV230*($A$16+$A$17)/100,2)</f>
        <v>0</v>
      </c>
      <c r="AX230" s="198">
        <f aca="true" t="shared" si="267" ref="AX230:AX243">SUM(AV230:AW230)</f>
        <v>0</v>
      </c>
      <c r="AY230" s="29">
        <v>50</v>
      </c>
      <c r="AZ230" s="214">
        <f t="shared" si="261"/>
        <v>0.0442</v>
      </c>
      <c r="BA230" s="269">
        <f aca="true" t="shared" si="268" ref="BA230:BA243">ROUND(AY230*AZ230,2)</f>
        <v>2.21</v>
      </c>
      <c r="BB230" s="269">
        <f aca="true" t="shared" si="269" ref="BB230:BB243">ROUND(BA230*($A$16+$A$17)/100,2)</f>
        <v>0</v>
      </c>
      <c r="BC230" s="198">
        <f aca="true" t="shared" si="270" ref="BC230:BC243">SUM(BA230:BB230)</f>
        <v>2.21</v>
      </c>
      <c r="BD230" s="199">
        <f aca="true" t="shared" si="271" ref="BD230:BD243">SUM(AX230,BC230)</f>
        <v>2.21</v>
      </c>
      <c r="BE230" s="237" t="s">
        <v>448</v>
      </c>
      <c r="BF230" s="363" t="s">
        <v>449</v>
      </c>
      <c r="BG230" s="363" t="s">
        <v>449</v>
      </c>
      <c r="BH230" s="22" t="s">
        <v>54</v>
      </c>
      <c r="BI230" s="200">
        <f t="shared" si="230"/>
        <v>2.21</v>
      </c>
      <c r="BJ230" s="200">
        <f t="shared" si="262"/>
        <v>0.23</v>
      </c>
      <c r="BK230" s="197">
        <f t="shared" si="231"/>
        <v>0.83</v>
      </c>
      <c r="BL230" s="197">
        <f t="shared" si="232"/>
        <v>0</v>
      </c>
      <c r="BM230" s="197">
        <f t="shared" si="233"/>
        <v>0.04</v>
      </c>
      <c r="BN230" s="201">
        <f t="shared" si="234"/>
        <v>2.43</v>
      </c>
      <c r="BO230" s="202">
        <f t="shared" si="235"/>
        <v>5.74</v>
      </c>
      <c r="BP230" s="203">
        <f t="shared" si="263"/>
        <v>1.72</v>
      </c>
      <c r="BQ230" s="204">
        <f t="shared" si="236"/>
        <v>7.46</v>
      </c>
      <c r="BR230" s="205">
        <f t="shared" si="264"/>
        <v>0.39</v>
      </c>
      <c r="BS230" s="206">
        <f t="shared" si="237"/>
        <v>7.85</v>
      </c>
      <c r="BT230" s="84"/>
    </row>
    <row r="231" spans="1:72" ht="14.25" customHeight="1">
      <c r="A231" s="84"/>
      <c r="B231" s="237" t="s">
        <v>992</v>
      </c>
      <c r="C231" s="363" t="s">
        <v>999</v>
      </c>
      <c r="D231" s="78" t="s">
        <v>53</v>
      </c>
      <c r="E231" s="190">
        <v>150</v>
      </c>
      <c r="F231" s="214">
        <f t="shared" si="238"/>
        <v>0.0565</v>
      </c>
      <c r="G231" s="197">
        <f t="shared" si="239"/>
        <v>8.48</v>
      </c>
      <c r="H231" s="197">
        <f t="shared" si="240"/>
        <v>0</v>
      </c>
      <c r="I231" s="198">
        <f t="shared" si="241"/>
        <v>8.48</v>
      </c>
      <c r="J231" s="257">
        <v>85</v>
      </c>
      <c r="K231" s="214">
        <f t="shared" si="242"/>
        <v>0.0442</v>
      </c>
      <c r="L231" s="197">
        <f t="shared" si="243"/>
        <v>3.76</v>
      </c>
      <c r="M231" s="197">
        <f t="shared" si="244"/>
        <v>0</v>
      </c>
      <c r="N231" s="198">
        <f t="shared" si="245"/>
        <v>3.76</v>
      </c>
      <c r="O231" s="199">
        <f t="shared" si="246"/>
        <v>12.24</v>
      </c>
      <c r="P231" s="237" t="s">
        <v>992</v>
      </c>
      <c r="Q231" s="443" t="s">
        <v>999</v>
      </c>
      <c r="R231" s="443"/>
      <c r="S231" s="76"/>
      <c r="T231" s="22" t="s">
        <v>54</v>
      </c>
      <c r="U231" s="200">
        <f t="shared" si="247"/>
        <v>12.24</v>
      </c>
      <c r="V231" s="200">
        <f t="shared" si="248"/>
        <v>1.27</v>
      </c>
      <c r="W231" s="197">
        <f t="shared" si="249"/>
        <v>4.59</v>
      </c>
      <c r="X231" s="197">
        <f t="shared" si="250"/>
        <v>0.01</v>
      </c>
      <c r="Y231" s="197">
        <f t="shared" si="251"/>
        <v>0.2</v>
      </c>
      <c r="Z231" s="201">
        <f t="shared" si="252"/>
        <v>13.44</v>
      </c>
      <c r="AA231" s="202">
        <f t="shared" si="253"/>
        <v>31.75</v>
      </c>
      <c r="AB231" s="203">
        <f t="shared" si="254"/>
        <v>9.53</v>
      </c>
      <c r="AC231" s="204">
        <f t="shared" si="255"/>
        <v>41.28</v>
      </c>
      <c r="AD231" s="205">
        <f t="shared" si="256"/>
        <v>2.17</v>
      </c>
      <c r="AE231" s="206">
        <f t="shared" si="257"/>
        <v>43.45</v>
      </c>
      <c r="AF231" s="84"/>
      <c r="AG231" s="237" t="s">
        <v>992</v>
      </c>
      <c r="AH231" s="363" t="s">
        <v>999</v>
      </c>
      <c r="AI231" s="363"/>
      <c r="AJ231" s="78" t="s">
        <v>54</v>
      </c>
      <c r="AK231" s="78"/>
      <c r="AL231" s="207">
        <f t="shared" si="258"/>
        <v>43.45</v>
      </c>
      <c r="AM231" s="207"/>
      <c r="AN231" s="207">
        <f t="shared" si="259"/>
        <v>22.909999999999997</v>
      </c>
      <c r="AO231" s="19"/>
      <c r="AP231" s="84"/>
      <c r="AQ231" s="237" t="s">
        <v>992</v>
      </c>
      <c r="AR231" s="363" t="s">
        <v>999</v>
      </c>
      <c r="AS231" s="363"/>
      <c r="AT231" s="29">
        <v>75</v>
      </c>
      <c r="AU231" s="29">
        <f t="shared" si="260"/>
        <v>0.0565</v>
      </c>
      <c r="AV231" s="269">
        <f t="shared" si="265"/>
        <v>4.24</v>
      </c>
      <c r="AW231" s="269">
        <f t="shared" si="266"/>
        <v>0</v>
      </c>
      <c r="AX231" s="198">
        <f t="shared" si="267"/>
        <v>4.24</v>
      </c>
      <c r="AY231" s="29">
        <v>50</v>
      </c>
      <c r="AZ231" s="214">
        <f t="shared" si="261"/>
        <v>0.0442</v>
      </c>
      <c r="BA231" s="269">
        <f t="shared" si="268"/>
        <v>2.21</v>
      </c>
      <c r="BB231" s="269">
        <f t="shared" si="269"/>
        <v>0</v>
      </c>
      <c r="BC231" s="198">
        <f t="shared" si="270"/>
        <v>2.21</v>
      </c>
      <c r="BD231" s="199">
        <f t="shared" si="271"/>
        <v>6.45</v>
      </c>
      <c r="BE231" s="237" t="s">
        <v>992</v>
      </c>
      <c r="BF231" s="363" t="s">
        <v>999</v>
      </c>
      <c r="BG231" s="363" t="s">
        <v>999</v>
      </c>
      <c r="BH231" s="22" t="s">
        <v>54</v>
      </c>
      <c r="BI231" s="200">
        <f t="shared" si="230"/>
        <v>6.45</v>
      </c>
      <c r="BJ231" s="200">
        <f t="shared" si="262"/>
        <v>0.67</v>
      </c>
      <c r="BK231" s="197">
        <f t="shared" si="231"/>
        <v>2.42</v>
      </c>
      <c r="BL231" s="197">
        <f t="shared" si="232"/>
        <v>0.01</v>
      </c>
      <c r="BM231" s="197">
        <f t="shared" si="233"/>
        <v>0.11</v>
      </c>
      <c r="BN231" s="201">
        <f t="shared" si="234"/>
        <v>7.08</v>
      </c>
      <c r="BO231" s="202">
        <f t="shared" si="235"/>
        <v>16.74</v>
      </c>
      <c r="BP231" s="203">
        <f t="shared" si="263"/>
        <v>5.02</v>
      </c>
      <c r="BQ231" s="204">
        <f t="shared" si="236"/>
        <v>21.759999999999998</v>
      </c>
      <c r="BR231" s="205">
        <f t="shared" si="264"/>
        <v>1.15</v>
      </c>
      <c r="BS231" s="206">
        <f t="shared" si="237"/>
        <v>22.909999999999997</v>
      </c>
      <c r="BT231" s="84"/>
    </row>
    <row r="232" spans="1:72" ht="25.5" customHeight="1">
      <c r="A232" s="84"/>
      <c r="B232" s="237" t="s">
        <v>993</v>
      </c>
      <c r="C232" s="363" t="s">
        <v>1000</v>
      </c>
      <c r="D232" s="78" t="s">
        <v>53</v>
      </c>
      <c r="E232" s="190">
        <v>170</v>
      </c>
      <c r="F232" s="214">
        <f t="shared" si="238"/>
        <v>0.0565</v>
      </c>
      <c r="G232" s="197">
        <f t="shared" si="239"/>
        <v>9.61</v>
      </c>
      <c r="H232" s="197">
        <f t="shared" si="240"/>
        <v>0</v>
      </c>
      <c r="I232" s="198">
        <f t="shared" si="241"/>
        <v>9.61</v>
      </c>
      <c r="J232" s="257">
        <v>100</v>
      </c>
      <c r="K232" s="214">
        <f t="shared" si="242"/>
        <v>0.0442</v>
      </c>
      <c r="L232" s="197">
        <f t="shared" si="243"/>
        <v>4.42</v>
      </c>
      <c r="M232" s="197">
        <f t="shared" si="244"/>
        <v>0</v>
      </c>
      <c r="N232" s="198">
        <f t="shared" si="245"/>
        <v>4.42</v>
      </c>
      <c r="O232" s="199">
        <f t="shared" si="246"/>
        <v>14.03</v>
      </c>
      <c r="P232" s="237" t="s">
        <v>993</v>
      </c>
      <c r="Q232" s="443" t="s">
        <v>1000</v>
      </c>
      <c r="R232" s="443"/>
      <c r="S232" s="76"/>
      <c r="T232" s="22" t="s">
        <v>54</v>
      </c>
      <c r="U232" s="200">
        <f t="shared" si="247"/>
        <v>14.03</v>
      </c>
      <c r="V232" s="200">
        <f t="shared" si="248"/>
        <v>1.45</v>
      </c>
      <c r="W232" s="197">
        <f t="shared" si="249"/>
        <v>5.26</v>
      </c>
      <c r="X232" s="197">
        <f t="shared" si="250"/>
        <v>0.01</v>
      </c>
      <c r="Y232" s="197">
        <f t="shared" si="251"/>
        <v>0.23</v>
      </c>
      <c r="Z232" s="201">
        <f t="shared" si="252"/>
        <v>15.4</v>
      </c>
      <c r="AA232" s="202">
        <f t="shared" si="253"/>
        <v>36.38</v>
      </c>
      <c r="AB232" s="203">
        <f t="shared" si="254"/>
        <v>10.91</v>
      </c>
      <c r="AC232" s="204">
        <f t="shared" si="255"/>
        <v>47.290000000000006</v>
      </c>
      <c r="AD232" s="205">
        <f t="shared" si="256"/>
        <v>2.49</v>
      </c>
      <c r="AE232" s="206">
        <f t="shared" si="257"/>
        <v>49.78000000000001</v>
      </c>
      <c r="AF232" s="84"/>
      <c r="AG232" s="237" t="s">
        <v>993</v>
      </c>
      <c r="AH232" s="363" t="s">
        <v>1000</v>
      </c>
      <c r="AI232" s="363"/>
      <c r="AJ232" s="78" t="s">
        <v>54</v>
      </c>
      <c r="AK232" s="78"/>
      <c r="AL232" s="207">
        <f t="shared" si="258"/>
        <v>49.78000000000001</v>
      </c>
      <c r="AM232" s="207"/>
      <c r="AN232" s="207">
        <f t="shared" si="259"/>
        <v>29.250000000000004</v>
      </c>
      <c r="AO232" s="19"/>
      <c r="AP232" s="84"/>
      <c r="AQ232" s="237" t="s">
        <v>993</v>
      </c>
      <c r="AR232" s="363" t="s">
        <v>1000</v>
      </c>
      <c r="AS232" s="363"/>
      <c r="AT232" s="29">
        <v>95</v>
      </c>
      <c r="AU232" s="29">
        <f t="shared" si="260"/>
        <v>0.0565</v>
      </c>
      <c r="AV232" s="269">
        <f t="shared" si="265"/>
        <v>5.37</v>
      </c>
      <c r="AW232" s="269">
        <f t="shared" si="266"/>
        <v>0</v>
      </c>
      <c r="AX232" s="198">
        <f t="shared" si="267"/>
        <v>5.37</v>
      </c>
      <c r="AY232" s="29">
        <v>65</v>
      </c>
      <c r="AZ232" s="214">
        <f t="shared" si="261"/>
        <v>0.0442</v>
      </c>
      <c r="BA232" s="269">
        <f t="shared" si="268"/>
        <v>2.87</v>
      </c>
      <c r="BB232" s="269">
        <f t="shared" si="269"/>
        <v>0</v>
      </c>
      <c r="BC232" s="198">
        <f t="shared" si="270"/>
        <v>2.87</v>
      </c>
      <c r="BD232" s="199">
        <f t="shared" si="271"/>
        <v>8.24</v>
      </c>
      <c r="BE232" s="237" t="s">
        <v>993</v>
      </c>
      <c r="BF232" s="363" t="s">
        <v>1000</v>
      </c>
      <c r="BG232" s="363" t="s">
        <v>1000</v>
      </c>
      <c r="BH232" s="22" t="s">
        <v>54</v>
      </c>
      <c r="BI232" s="200">
        <f t="shared" si="230"/>
        <v>8.24</v>
      </c>
      <c r="BJ232" s="200">
        <f t="shared" si="262"/>
        <v>0.85</v>
      </c>
      <c r="BK232" s="197">
        <f t="shared" si="231"/>
        <v>3.09</v>
      </c>
      <c r="BL232" s="197">
        <f t="shared" si="232"/>
        <v>0.01</v>
      </c>
      <c r="BM232" s="197">
        <f t="shared" si="233"/>
        <v>0.14</v>
      </c>
      <c r="BN232" s="201">
        <f t="shared" si="234"/>
        <v>9.05</v>
      </c>
      <c r="BO232" s="202">
        <f t="shared" si="235"/>
        <v>21.380000000000003</v>
      </c>
      <c r="BP232" s="203">
        <f t="shared" si="263"/>
        <v>6.41</v>
      </c>
      <c r="BQ232" s="204">
        <f t="shared" si="236"/>
        <v>27.790000000000003</v>
      </c>
      <c r="BR232" s="205">
        <f t="shared" si="264"/>
        <v>1.46</v>
      </c>
      <c r="BS232" s="206">
        <f t="shared" si="237"/>
        <v>29.250000000000004</v>
      </c>
      <c r="BT232" s="84"/>
    </row>
    <row r="233" spans="1:72" ht="37.5" customHeight="1">
      <c r="A233" s="84"/>
      <c r="B233" s="237" t="s">
        <v>994</v>
      </c>
      <c r="C233" s="363" t="s">
        <v>1001</v>
      </c>
      <c r="D233" s="78" t="s">
        <v>53</v>
      </c>
      <c r="E233" s="190">
        <v>190</v>
      </c>
      <c r="F233" s="214">
        <f t="shared" si="238"/>
        <v>0.0565</v>
      </c>
      <c r="G233" s="197">
        <f t="shared" si="239"/>
        <v>10.74</v>
      </c>
      <c r="H233" s="197">
        <f t="shared" si="240"/>
        <v>0</v>
      </c>
      <c r="I233" s="198">
        <f t="shared" si="241"/>
        <v>10.74</v>
      </c>
      <c r="J233" s="257">
        <v>120</v>
      </c>
      <c r="K233" s="214">
        <f t="shared" si="242"/>
        <v>0.0442</v>
      </c>
      <c r="L233" s="197">
        <f t="shared" si="243"/>
        <v>5.3</v>
      </c>
      <c r="M233" s="197">
        <f t="shared" si="244"/>
        <v>0</v>
      </c>
      <c r="N233" s="198">
        <f t="shared" si="245"/>
        <v>5.3</v>
      </c>
      <c r="O233" s="199">
        <f t="shared" si="246"/>
        <v>16.04</v>
      </c>
      <c r="P233" s="237" t="s">
        <v>994</v>
      </c>
      <c r="Q233" s="443" t="s">
        <v>1001</v>
      </c>
      <c r="R233" s="443"/>
      <c r="S233" s="76"/>
      <c r="T233" s="22" t="s">
        <v>54</v>
      </c>
      <c r="U233" s="200">
        <f t="shared" si="247"/>
        <v>16.04</v>
      </c>
      <c r="V233" s="200">
        <f t="shared" si="248"/>
        <v>1.66</v>
      </c>
      <c r="W233" s="197">
        <f t="shared" si="249"/>
        <v>6.02</v>
      </c>
      <c r="X233" s="197">
        <f t="shared" si="250"/>
        <v>0.01</v>
      </c>
      <c r="Y233" s="197">
        <f t="shared" si="251"/>
        <v>0.27</v>
      </c>
      <c r="Z233" s="201">
        <f t="shared" si="252"/>
        <v>17.61</v>
      </c>
      <c r="AA233" s="202">
        <f t="shared" si="253"/>
        <v>41.61</v>
      </c>
      <c r="AB233" s="203">
        <f t="shared" si="254"/>
        <v>12.48</v>
      </c>
      <c r="AC233" s="204">
        <f t="shared" si="255"/>
        <v>54.09</v>
      </c>
      <c r="AD233" s="205">
        <f t="shared" si="256"/>
        <v>2.85</v>
      </c>
      <c r="AE233" s="206">
        <f t="shared" si="257"/>
        <v>56.940000000000005</v>
      </c>
      <c r="AF233" s="84"/>
      <c r="AG233" s="237" t="s">
        <v>994</v>
      </c>
      <c r="AH233" s="363" t="s">
        <v>1001</v>
      </c>
      <c r="AI233" s="363"/>
      <c r="AJ233" s="78" t="s">
        <v>54</v>
      </c>
      <c r="AK233" s="78"/>
      <c r="AL233" s="207">
        <f t="shared" si="258"/>
        <v>56.940000000000005</v>
      </c>
      <c r="AM233" s="207"/>
      <c r="AN233" s="207">
        <f t="shared" si="259"/>
        <v>36.410000000000004</v>
      </c>
      <c r="AO233" s="19"/>
      <c r="AP233" s="84"/>
      <c r="AQ233" s="237" t="s">
        <v>994</v>
      </c>
      <c r="AR233" s="363" t="s">
        <v>1001</v>
      </c>
      <c r="AS233" s="363"/>
      <c r="AT233" s="29">
        <v>115</v>
      </c>
      <c r="AU233" s="29">
        <f t="shared" si="260"/>
        <v>0.0565</v>
      </c>
      <c r="AV233" s="269">
        <f>ROUND(AT233*AU233,2)</f>
        <v>6.5</v>
      </c>
      <c r="AW233" s="269">
        <f>ROUND(AV233*($A$16+$A$17)/100,2)</f>
        <v>0</v>
      </c>
      <c r="AX233" s="198">
        <f>SUM(AV233:AW233)</f>
        <v>6.5</v>
      </c>
      <c r="AY233" s="29">
        <v>85</v>
      </c>
      <c r="AZ233" s="214">
        <f t="shared" si="261"/>
        <v>0.0442</v>
      </c>
      <c r="BA233" s="269">
        <f>ROUND(AY233*AZ233,2)</f>
        <v>3.76</v>
      </c>
      <c r="BB233" s="269">
        <f>ROUND(BA233*($A$16+$A$17)/100,2)</f>
        <v>0</v>
      </c>
      <c r="BC233" s="198">
        <f>SUM(BA233:BB233)</f>
        <v>3.76</v>
      </c>
      <c r="BD233" s="199">
        <f>SUM(AX233,BC233)</f>
        <v>10.26</v>
      </c>
      <c r="BE233" s="237" t="s">
        <v>994</v>
      </c>
      <c r="BF233" s="363" t="s">
        <v>1001</v>
      </c>
      <c r="BG233" s="363" t="s">
        <v>1001</v>
      </c>
      <c r="BH233" s="22" t="s">
        <v>54</v>
      </c>
      <c r="BI233" s="200">
        <f>BD233</f>
        <v>10.26</v>
      </c>
      <c r="BJ233" s="200">
        <f t="shared" si="262"/>
        <v>1.06</v>
      </c>
      <c r="BK233" s="197">
        <f>ROUND(SUM(BI233:BJ233)*$AA$19,2)</f>
        <v>3.85</v>
      </c>
      <c r="BL233" s="197">
        <f>ROUND(SUM(BI233:BJ233)*$AA$21,2)</f>
        <v>0.01</v>
      </c>
      <c r="BM233" s="197">
        <f>ROUND(SUM(BI233:BJ233)*$AA$20,2)</f>
        <v>0.17</v>
      </c>
      <c r="BN233" s="201">
        <f>ROUND(BI233*$S$20,2)</f>
        <v>11.26</v>
      </c>
      <c r="BO233" s="202">
        <f>SUM(BI233:BN233)</f>
        <v>26.61</v>
      </c>
      <c r="BP233" s="203">
        <f t="shared" si="263"/>
        <v>7.98</v>
      </c>
      <c r="BQ233" s="204">
        <f>SUM(BO233:BP233)</f>
        <v>34.59</v>
      </c>
      <c r="BR233" s="205">
        <f t="shared" si="264"/>
        <v>1.82</v>
      </c>
      <c r="BS233" s="206">
        <f>SUM(BQ233:BR233)</f>
        <v>36.410000000000004</v>
      </c>
      <c r="BT233" s="84"/>
    </row>
    <row r="234" spans="1:72" ht="13.5" customHeight="1">
      <c r="A234" s="84"/>
      <c r="B234" s="237" t="s">
        <v>995</v>
      </c>
      <c r="C234" s="363" t="s">
        <v>1002</v>
      </c>
      <c r="D234" s="78" t="s">
        <v>53</v>
      </c>
      <c r="E234" s="190">
        <v>20</v>
      </c>
      <c r="F234" s="214">
        <f t="shared" si="238"/>
        <v>0.0565</v>
      </c>
      <c r="G234" s="197">
        <f t="shared" si="239"/>
        <v>1.13</v>
      </c>
      <c r="H234" s="197">
        <f t="shared" si="240"/>
        <v>0</v>
      </c>
      <c r="I234" s="198">
        <f t="shared" si="241"/>
        <v>1.13</v>
      </c>
      <c r="J234" s="257">
        <v>10</v>
      </c>
      <c r="K234" s="214">
        <f t="shared" si="242"/>
        <v>0.0442</v>
      </c>
      <c r="L234" s="197">
        <f t="shared" si="243"/>
        <v>0.44</v>
      </c>
      <c r="M234" s="197">
        <f t="shared" si="244"/>
        <v>0</v>
      </c>
      <c r="N234" s="198">
        <f t="shared" si="245"/>
        <v>0.44</v>
      </c>
      <c r="O234" s="199">
        <f t="shared" si="246"/>
        <v>1.5699999999999998</v>
      </c>
      <c r="P234" s="237" t="s">
        <v>995</v>
      </c>
      <c r="Q234" s="443" t="s">
        <v>1002</v>
      </c>
      <c r="R234" s="443"/>
      <c r="S234" s="76"/>
      <c r="T234" s="22" t="s">
        <v>54</v>
      </c>
      <c r="U234" s="200">
        <f t="shared" si="247"/>
        <v>1.5699999999999998</v>
      </c>
      <c r="V234" s="200">
        <f t="shared" si="248"/>
        <v>0.16</v>
      </c>
      <c r="W234" s="197">
        <f t="shared" si="249"/>
        <v>0.59</v>
      </c>
      <c r="X234" s="197">
        <f t="shared" si="250"/>
        <v>0</v>
      </c>
      <c r="Y234" s="197">
        <f t="shared" si="251"/>
        <v>0.03</v>
      </c>
      <c r="Z234" s="201">
        <f t="shared" si="252"/>
        <v>1.72</v>
      </c>
      <c r="AA234" s="202">
        <f t="shared" si="253"/>
        <v>4.069999999999999</v>
      </c>
      <c r="AB234" s="203">
        <f t="shared" si="254"/>
        <v>1.22</v>
      </c>
      <c r="AC234" s="204">
        <f t="shared" si="255"/>
        <v>5.289999999999999</v>
      </c>
      <c r="AD234" s="205">
        <f t="shared" si="256"/>
        <v>0.28</v>
      </c>
      <c r="AE234" s="206">
        <f t="shared" si="257"/>
        <v>5.569999999999999</v>
      </c>
      <c r="AF234" s="84"/>
      <c r="AG234" s="237" t="s">
        <v>995</v>
      </c>
      <c r="AH234" s="363" t="s">
        <v>1002</v>
      </c>
      <c r="AI234" s="363"/>
      <c r="AJ234" s="78" t="s">
        <v>54</v>
      </c>
      <c r="AK234" s="78"/>
      <c r="AL234" s="207">
        <f t="shared" si="258"/>
        <v>5.569999999999999</v>
      </c>
      <c r="AM234" s="207"/>
      <c r="AN234" s="207">
        <f t="shared" si="259"/>
        <v>1.8299999999999998</v>
      </c>
      <c r="AO234" s="19"/>
      <c r="AP234" s="84"/>
      <c r="AQ234" s="237" t="s">
        <v>995</v>
      </c>
      <c r="AR234" s="363" t="s">
        <v>1002</v>
      </c>
      <c r="AS234" s="363"/>
      <c r="AT234" s="29">
        <v>6</v>
      </c>
      <c r="AU234" s="29">
        <f t="shared" si="260"/>
        <v>0.0565</v>
      </c>
      <c r="AV234" s="269">
        <f>ROUND(AT234*AU234,2)</f>
        <v>0.34</v>
      </c>
      <c r="AW234" s="269">
        <f>ROUND(AV234*($A$16+$A$17)/100,2)</f>
        <v>0</v>
      </c>
      <c r="AX234" s="198">
        <f>SUM(AV234:AW234)</f>
        <v>0.34</v>
      </c>
      <c r="AY234" s="29">
        <v>4</v>
      </c>
      <c r="AZ234" s="214">
        <f t="shared" si="261"/>
        <v>0.0442</v>
      </c>
      <c r="BA234" s="269">
        <f>ROUND(AY234*AZ234,2)</f>
        <v>0.18</v>
      </c>
      <c r="BB234" s="269">
        <f>ROUND(BA234*($A$16+$A$17)/100,2)</f>
        <v>0</v>
      </c>
      <c r="BC234" s="198">
        <f>SUM(BA234:BB234)</f>
        <v>0.18</v>
      </c>
      <c r="BD234" s="199">
        <f>SUM(AX234,BC234)</f>
        <v>0.52</v>
      </c>
      <c r="BE234" s="237" t="s">
        <v>995</v>
      </c>
      <c r="BF234" s="363" t="s">
        <v>1002</v>
      </c>
      <c r="BG234" s="363" t="s">
        <v>1002</v>
      </c>
      <c r="BH234" s="22" t="s">
        <v>54</v>
      </c>
      <c r="BI234" s="200">
        <f>BD234</f>
        <v>0.52</v>
      </c>
      <c r="BJ234" s="200">
        <f t="shared" si="262"/>
        <v>0.05</v>
      </c>
      <c r="BK234" s="197">
        <f>ROUND(SUM(BI234:BJ234)*$AA$19,2)</f>
        <v>0.19</v>
      </c>
      <c r="BL234" s="197">
        <f>ROUND(SUM(BI234:BJ234)*$AA$21,2)</f>
        <v>0</v>
      </c>
      <c r="BM234" s="197">
        <f>ROUND(SUM(BI234:BJ234)*$AA$20,2)</f>
        <v>0.01</v>
      </c>
      <c r="BN234" s="201">
        <f>ROUND(BI234*$S$20,2)</f>
        <v>0.57</v>
      </c>
      <c r="BO234" s="202">
        <f>SUM(BI234:BN234)</f>
        <v>1.3399999999999999</v>
      </c>
      <c r="BP234" s="203">
        <f t="shared" si="263"/>
        <v>0.4</v>
      </c>
      <c r="BQ234" s="204">
        <f>SUM(BO234:BP234)</f>
        <v>1.7399999999999998</v>
      </c>
      <c r="BR234" s="205">
        <f t="shared" si="264"/>
        <v>0.09</v>
      </c>
      <c r="BS234" s="206">
        <f>SUM(BQ234:BR234)</f>
        <v>1.8299999999999998</v>
      </c>
      <c r="BT234" s="84"/>
    </row>
    <row r="235" spans="1:72" ht="14.25" customHeight="1">
      <c r="A235" s="84"/>
      <c r="B235" s="239" t="s">
        <v>450</v>
      </c>
      <c r="C235" s="240" t="s">
        <v>451</v>
      </c>
      <c r="D235" s="251"/>
      <c r="E235" s="255"/>
      <c r="F235" s="256"/>
      <c r="G235" s="253"/>
      <c r="H235" s="253"/>
      <c r="I235" s="254"/>
      <c r="J235" s="255"/>
      <c r="K235" s="255"/>
      <c r="L235" s="253"/>
      <c r="M235" s="253"/>
      <c r="N235" s="254"/>
      <c r="O235" s="220"/>
      <c r="P235" s="239" t="s">
        <v>450</v>
      </c>
      <c r="Q235" s="437" t="s">
        <v>451</v>
      </c>
      <c r="R235" s="437"/>
      <c r="S235" s="76"/>
      <c r="T235" s="219"/>
      <c r="U235" s="253"/>
      <c r="V235" s="253"/>
      <c r="W235" s="253"/>
      <c r="X235" s="253"/>
      <c r="Y235" s="253"/>
      <c r="Z235" s="253"/>
      <c r="AA235" s="253"/>
      <c r="AB235" s="253"/>
      <c r="AC235" s="253"/>
      <c r="AD235" s="253"/>
      <c r="AE235" s="220"/>
      <c r="AF235" s="84"/>
      <c r="AG235" s="239" t="s">
        <v>450</v>
      </c>
      <c r="AH235" s="437" t="s">
        <v>451</v>
      </c>
      <c r="AI235" s="437"/>
      <c r="AJ235" s="78"/>
      <c r="AK235" s="78"/>
      <c r="AL235" s="207"/>
      <c r="AM235" s="207"/>
      <c r="AN235" s="207"/>
      <c r="AO235" s="19"/>
      <c r="AP235" s="84"/>
      <c r="AQ235" s="239" t="s">
        <v>450</v>
      </c>
      <c r="AR235" s="437" t="s">
        <v>451</v>
      </c>
      <c r="AS235" s="437"/>
      <c r="AT235" s="29"/>
      <c r="AU235" s="252"/>
      <c r="AV235" s="254"/>
      <c r="AW235" s="254"/>
      <c r="AX235" s="254"/>
      <c r="AY235" s="252"/>
      <c r="AZ235" s="256"/>
      <c r="BA235" s="254"/>
      <c r="BB235" s="254"/>
      <c r="BC235" s="254"/>
      <c r="BD235" s="220"/>
      <c r="BE235" s="239" t="s">
        <v>450</v>
      </c>
      <c r="BF235" s="437" t="s">
        <v>451</v>
      </c>
      <c r="BG235" s="437"/>
      <c r="BH235" s="219"/>
      <c r="BI235" s="253"/>
      <c r="BJ235" s="253"/>
      <c r="BK235" s="253"/>
      <c r="BL235" s="253"/>
      <c r="BM235" s="253"/>
      <c r="BN235" s="253"/>
      <c r="BO235" s="253"/>
      <c r="BP235" s="253"/>
      <c r="BQ235" s="253"/>
      <c r="BR235" s="253"/>
      <c r="BS235" s="220"/>
      <c r="BT235" s="84"/>
    </row>
    <row r="236" spans="1:72" ht="15" customHeight="1">
      <c r="A236" s="84"/>
      <c r="B236" s="239" t="s">
        <v>452</v>
      </c>
      <c r="C236" s="240" t="s">
        <v>453</v>
      </c>
      <c r="D236" s="251"/>
      <c r="E236" s="255"/>
      <c r="F236" s="256"/>
      <c r="G236" s="253"/>
      <c r="H236" s="253"/>
      <c r="I236" s="254"/>
      <c r="J236" s="255"/>
      <c r="K236" s="255"/>
      <c r="L236" s="253"/>
      <c r="M236" s="253"/>
      <c r="N236" s="254"/>
      <c r="O236" s="220"/>
      <c r="P236" s="239" t="s">
        <v>452</v>
      </c>
      <c r="Q236" s="437" t="s">
        <v>453</v>
      </c>
      <c r="R236" s="437"/>
      <c r="S236" s="76"/>
      <c r="T236" s="219"/>
      <c r="U236" s="253"/>
      <c r="V236" s="253"/>
      <c r="W236" s="253"/>
      <c r="X236" s="253"/>
      <c r="Y236" s="253"/>
      <c r="Z236" s="253"/>
      <c r="AA236" s="253"/>
      <c r="AB236" s="253"/>
      <c r="AC236" s="253"/>
      <c r="AD236" s="253"/>
      <c r="AE236" s="220"/>
      <c r="AF236" s="84"/>
      <c r="AG236" s="239" t="s">
        <v>452</v>
      </c>
      <c r="AH236" s="437" t="s">
        <v>453</v>
      </c>
      <c r="AI236" s="437"/>
      <c r="AJ236" s="78"/>
      <c r="AK236" s="78"/>
      <c r="AL236" s="207"/>
      <c r="AM236" s="207"/>
      <c r="AN236" s="207"/>
      <c r="AO236" s="19"/>
      <c r="AP236" s="84"/>
      <c r="AQ236" s="239" t="s">
        <v>452</v>
      </c>
      <c r="AR236" s="437" t="s">
        <v>453</v>
      </c>
      <c r="AS236" s="437"/>
      <c r="AT236" s="29"/>
      <c r="AU236" s="252"/>
      <c r="AV236" s="254"/>
      <c r="AW236" s="254"/>
      <c r="AX236" s="254"/>
      <c r="AY236" s="252"/>
      <c r="AZ236" s="256"/>
      <c r="BA236" s="254"/>
      <c r="BB236" s="254"/>
      <c r="BC236" s="254"/>
      <c r="BD236" s="220"/>
      <c r="BE236" s="239" t="s">
        <v>452</v>
      </c>
      <c r="BF236" s="437" t="s">
        <v>453</v>
      </c>
      <c r="BG236" s="437"/>
      <c r="BH236" s="219"/>
      <c r="BI236" s="253"/>
      <c r="BJ236" s="253"/>
      <c r="BK236" s="253"/>
      <c r="BL236" s="253"/>
      <c r="BM236" s="253"/>
      <c r="BN236" s="253"/>
      <c r="BO236" s="253"/>
      <c r="BP236" s="253"/>
      <c r="BQ236" s="253"/>
      <c r="BR236" s="253"/>
      <c r="BS236" s="220"/>
      <c r="BT236" s="84"/>
    </row>
    <row r="237" spans="1:72" ht="18" customHeight="1">
      <c r="A237" s="84"/>
      <c r="B237" s="239" t="s">
        <v>454</v>
      </c>
      <c r="C237" s="240" t="s">
        <v>455</v>
      </c>
      <c r="D237" s="78"/>
      <c r="E237" s="190"/>
      <c r="F237" s="214"/>
      <c r="G237" s="197"/>
      <c r="H237" s="197"/>
      <c r="I237" s="198"/>
      <c r="J237" s="257"/>
      <c r="K237" s="214"/>
      <c r="L237" s="197"/>
      <c r="M237" s="197"/>
      <c r="N237" s="198"/>
      <c r="O237" s="199"/>
      <c r="P237" s="239" t="s">
        <v>454</v>
      </c>
      <c r="Q237" s="437" t="s">
        <v>455</v>
      </c>
      <c r="R237" s="437"/>
      <c r="S237" s="76"/>
      <c r="T237" s="219"/>
      <c r="U237" s="253"/>
      <c r="V237" s="253"/>
      <c r="W237" s="253"/>
      <c r="X237" s="253"/>
      <c r="Y237" s="253"/>
      <c r="Z237" s="253"/>
      <c r="AA237" s="253"/>
      <c r="AB237" s="253"/>
      <c r="AC237" s="253"/>
      <c r="AD237" s="253"/>
      <c r="AE237" s="220"/>
      <c r="AF237" s="84"/>
      <c r="AG237" s="239" t="s">
        <v>454</v>
      </c>
      <c r="AH237" s="437" t="s">
        <v>455</v>
      </c>
      <c r="AI237" s="437"/>
      <c r="AJ237" s="78"/>
      <c r="AK237" s="78"/>
      <c r="AL237" s="207"/>
      <c r="AM237" s="207"/>
      <c r="AN237" s="207"/>
      <c r="AO237" s="19"/>
      <c r="AP237" s="84"/>
      <c r="AQ237" s="239" t="s">
        <v>454</v>
      </c>
      <c r="AR237" s="437" t="s">
        <v>455</v>
      </c>
      <c r="AS237" s="437"/>
      <c r="AT237" s="29"/>
      <c r="AU237" s="252"/>
      <c r="AV237" s="254"/>
      <c r="AW237" s="254"/>
      <c r="AX237" s="254"/>
      <c r="AY237" s="252"/>
      <c r="AZ237" s="256"/>
      <c r="BA237" s="254"/>
      <c r="BB237" s="254"/>
      <c r="BC237" s="254"/>
      <c r="BD237" s="220"/>
      <c r="BE237" s="239" t="s">
        <v>454</v>
      </c>
      <c r="BF237" s="437" t="s">
        <v>455</v>
      </c>
      <c r="BG237" s="437"/>
      <c r="BH237" s="219"/>
      <c r="BI237" s="253"/>
      <c r="BJ237" s="253"/>
      <c r="BK237" s="253"/>
      <c r="BL237" s="253"/>
      <c r="BM237" s="253"/>
      <c r="BN237" s="253"/>
      <c r="BO237" s="253"/>
      <c r="BP237" s="253"/>
      <c r="BQ237" s="253"/>
      <c r="BR237" s="253"/>
      <c r="BS237" s="220"/>
      <c r="BT237" s="84"/>
    </row>
    <row r="238" spans="1:72" ht="27" customHeight="1">
      <c r="A238" s="84"/>
      <c r="B238" s="237" t="s">
        <v>456</v>
      </c>
      <c r="C238" s="238" t="s">
        <v>457</v>
      </c>
      <c r="D238" s="78" t="s">
        <v>53</v>
      </c>
      <c r="E238" s="190">
        <v>0</v>
      </c>
      <c r="F238" s="214">
        <f>$G$15</f>
        <v>0.0565</v>
      </c>
      <c r="G238" s="197">
        <f>ROUND(E238*F238,2)</f>
        <v>0</v>
      </c>
      <c r="H238" s="197">
        <f>ROUND(G238*($A$16+$A$17)/100,2)</f>
        <v>0</v>
      </c>
      <c r="I238" s="198">
        <f>SUM(G238:H238)</f>
        <v>0</v>
      </c>
      <c r="J238" s="257">
        <v>30</v>
      </c>
      <c r="K238" s="214">
        <f>$G$20</f>
        <v>0.0442</v>
      </c>
      <c r="L238" s="197">
        <f>ROUND(J238*K238,2)</f>
        <v>1.33</v>
      </c>
      <c r="M238" s="197">
        <f>ROUND(L238*($A$16+$A$17)/100,2)</f>
        <v>0</v>
      </c>
      <c r="N238" s="198">
        <f>SUM(L238:M238)</f>
        <v>1.33</v>
      </c>
      <c r="O238" s="199">
        <f>SUM(I238,N238)</f>
        <v>1.33</v>
      </c>
      <c r="P238" s="237" t="s">
        <v>456</v>
      </c>
      <c r="Q238" s="439" t="s">
        <v>457</v>
      </c>
      <c r="R238" s="439"/>
      <c r="S238" s="76"/>
      <c r="T238" s="22" t="s">
        <v>54</v>
      </c>
      <c r="U238" s="200">
        <f>O238</f>
        <v>1.33</v>
      </c>
      <c r="V238" s="200">
        <f>ROUND(U238*$S$19,2)</f>
        <v>0.14</v>
      </c>
      <c r="W238" s="197">
        <f>ROUND(SUM(U238:V238)*$AA$19,2)</f>
        <v>0.5</v>
      </c>
      <c r="X238" s="197">
        <f>ROUND(SUM(U238:V238)*$AA$21,2)</f>
        <v>0</v>
      </c>
      <c r="Y238" s="197">
        <f>ROUND(SUM(U238:V238)*$AA$20,2)</f>
        <v>0.02</v>
      </c>
      <c r="Z238" s="201">
        <f>ROUND(U238*$S$20,2)</f>
        <v>1.46</v>
      </c>
      <c r="AA238" s="202">
        <f>SUM(U238:Z238)</f>
        <v>3.45</v>
      </c>
      <c r="AB238" s="203">
        <f>ROUND(AA238*$S$21,2)</f>
        <v>1.04</v>
      </c>
      <c r="AC238" s="204">
        <f>SUM(AA238:AB238)</f>
        <v>4.49</v>
      </c>
      <c r="AD238" s="205">
        <f>ROUND(AC238*$AD$19/95,2)</f>
        <v>0.24</v>
      </c>
      <c r="AE238" s="206">
        <f>SUM(AC238:AD238)</f>
        <v>4.73</v>
      </c>
      <c r="AF238" s="84"/>
      <c r="AG238" s="237" t="s">
        <v>456</v>
      </c>
      <c r="AH238" s="439" t="s">
        <v>457</v>
      </c>
      <c r="AI238" s="439"/>
      <c r="AJ238" s="78" t="s">
        <v>54</v>
      </c>
      <c r="AK238" s="78"/>
      <c r="AL238" s="207">
        <f>AE238</f>
        <v>4.73</v>
      </c>
      <c r="AM238" s="207"/>
      <c r="AN238" s="207">
        <f>BS238</f>
        <v>4.73</v>
      </c>
      <c r="AO238" s="19"/>
      <c r="AP238" s="84"/>
      <c r="AQ238" s="237" t="s">
        <v>456</v>
      </c>
      <c r="AR238" s="439" t="s">
        <v>457</v>
      </c>
      <c r="AS238" s="439"/>
      <c r="AT238" s="29">
        <v>0</v>
      </c>
      <c r="AU238" s="29">
        <f t="shared" si="260"/>
        <v>0.0565</v>
      </c>
      <c r="AV238" s="269">
        <f t="shared" si="265"/>
        <v>0</v>
      </c>
      <c r="AW238" s="269">
        <f t="shared" si="266"/>
        <v>0</v>
      </c>
      <c r="AX238" s="198">
        <f t="shared" si="267"/>
        <v>0</v>
      </c>
      <c r="AY238" s="308">
        <v>30</v>
      </c>
      <c r="AZ238" s="214">
        <f t="shared" si="261"/>
        <v>0.0442</v>
      </c>
      <c r="BA238" s="269">
        <f t="shared" si="268"/>
        <v>1.33</v>
      </c>
      <c r="BB238" s="269">
        <f t="shared" si="269"/>
        <v>0</v>
      </c>
      <c r="BC238" s="198">
        <f t="shared" si="270"/>
        <v>1.33</v>
      </c>
      <c r="BD238" s="199">
        <f t="shared" si="271"/>
        <v>1.33</v>
      </c>
      <c r="BE238" s="237" t="s">
        <v>456</v>
      </c>
      <c r="BF238" s="439" t="s">
        <v>457</v>
      </c>
      <c r="BG238" s="439"/>
      <c r="BH238" s="22" t="s">
        <v>54</v>
      </c>
      <c r="BI238" s="200">
        <f t="shared" si="230"/>
        <v>1.33</v>
      </c>
      <c r="BJ238" s="200">
        <f>ROUND(BI238*$S$19,2)</f>
        <v>0.14</v>
      </c>
      <c r="BK238" s="197">
        <f t="shared" si="231"/>
        <v>0.5</v>
      </c>
      <c r="BL238" s="197">
        <f t="shared" si="232"/>
        <v>0</v>
      </c>
      <c r="BM238" s="197">
        <f t="shared" si="233"/>
        <v>0.02</v>
      </c>
      <c r="BN238" s="201">
        <f t="shared" si="234"/>
        <v>1.46</v>
      </c>
      <c r="BO238" s="202">
        <f t="shared" si="235"/>
        <v>3.45</v>
      </c>
      <c r="BP238" s="203">
        <f>ROUND(BO238*$S$21,2)</f>
        <v>1.04</v>
      </c>
      <c r="BQ238" s="204">
        <f t="shared" si="236"/>
        <v>4.49</v>
      </c>
      <c r="BR238" s="205">
        <f>ROUND(BQ238*$AD$19/95,2)</f>
        <v>0.24</v>
      </c>
      <c r="BS238" s="206">
        <f t="shared" si="237"/>
        <v>4.73</v>
      </c>
      <c r="BT238" s="84"/>
    </row>
    <row r="239" spans="1:72" ht="25.5" customHeight="1">
      <c r="A239" s="84"/>
      <c r="B239" s="237" t="s">
        <v>458</v>
      </c>
      <c r="C239" s="238" t="s">
        <v>459</v>
      </c>
      <c r="D239" s="78" t="s">
        <v>53</v>
      </c>
      <c r="E239" s="190"/>
      <c r="F239" s="214">
        <f>$G$15</f>
        <v>0.0565</v>
      </c>
      <c r="G239" s="197">
        <f>ROUND(E239*F239,2)</f>
        <v>0</v>
      </c>
      <c r="H239" s="197">
        <f>ROUND(G239*($A$16+$A$17)/100,2)</f>
        <v>0</v>
      </c>
      <c r="I239" s="198">
        <f>SUM(G239:H239)</f>
        <v>0</v>
      </c>
      <c r="J239" s="257">
        <v>30</v>
      </c>
      <c r="K239" s="214">
        <f>$G$20</f>
        <v>0.0442</v>
      </c>
      <c r="L239" s="197">
        <f>ROUND(J239*K239,2)</f>
        <v>1.33</v>
      </c>
      <c r="M239" s="197">
        <f>ROUND(L239*($A$16+$A$17)/100,2)</f>
        <v>0</v>
      </c>
      <c r="N239" s="198">
        <f>SUM(L239:M239)</f>
        <v>1.33</v>
      </c>
      <c r="O239" s="199">
        <f>SUM(I239,N239)</f>
        <v>1.33</v>
      </c>
      <c r="P239" s="237" t="s">
        <v>458</v>
      </c>
      <c r="Q239" s="439" t="s">
        <v>459</v>
      </c>
      <c r="R239" s="439"/>
      <c r="S239" s="76"/>
      <c r="T239" s="22" t="s">
        <v>54</v>
      </c>
      <c r="U239" s="200">
        <f>O239</f>
        <v>1.33</v>
      </c>
      <c r="V239" s="200">
        <f>ROUND(U239*$S$19,2)</f>
        <v>0.14</v>
      </c>
      <c r="W239" s="197">
        <f>ROUND(SUM(U239:V239)*$AA$19,2)</f>
        <v>0.5</v>
      </c>
      <c r="X239" s="197">
        <f>ROUND(SUM(U239:V239)*$AA$21,2)</f>
        <v>0</v>
      </c>
      <c r="Y239" s="197">
        <f>ROUND(SUM(U239:V239)*$AA$20,2)</f>
        <v>0.02</v>
      </c>
      <c r="Z239" s="201">
        <f>ROUND(U239*$S$20,2)</f>
        <v>1.46</v>
      </c>
      <c r="AA239" s="202">
        <f>SUM(U239:Z239)</f>
        <v>3.45</v>
      </c>
      <c r="AB239" s="203">
        <f>ROUND(AA239*$S$21,2)</f>
        <v>1.04</v>
      </c>
      <c r="AC239" s="204">
        <f>SUM(AA239:AB239)</f>
        <v>4.49</v>
      </c>
      <c r="AD239" s="205">
        <f>ROUND(AC239*$AD$19/95,2)</f>
        <v>0.24</v>
      </c>
      <c r="AE239" s="206">
        <f>SUM(AC239:AD239)</f>
        <v>4.73</v>
      </c>
      <c r="AF239" s="84"/>
      <c r="AG239" s="237" t="s">
        <v>458</v>
      </c>
      <c r="AH239" s="439" t="s">
        <v>459</v>
      </c>
      <c r="AI239" s="439"/>
      <c r="AJ239" s="78" t="s">
        <v>54</v>
      </c>
      <c r="AK239" s="78"/>
      <c r="AL239" s="207">
        <f>AE239</f>
        <v>4.73</v>
      </c>
      <c r="AM239" s="207"/>
      <c r="AN239" s="207">
        <f>BS239</f>
        <v>4.73</v>
      </c>
      <c r="AO239" s="19"/>
      <c r="AP239" s="84"/>
      <c r="AQ239" s="237" t="s">
        <v>458</v>
      </c>
      <c r="AR239" s="439" t="s">
        <v>459</v>
      </c>
      <c r="AS239" s="439"/>
      <c r="AT239" s="29">
        <v>0</v>
      </c>
      <c r="AU239" s="29">
        <f t="shared" si="260"/>
        <v>0.0565</v>
      </c>
      <c r="AV239" s="269">
        <f t="shared" si="265"/>
        <v>0</v>
      </c>
      <c r="AW239" s="269">
        <f t="shared" si="266"/>
        <v>0</v>
      </c>
      <c r="AX239" s="198">
        <f t="shared" si="267"/>
        <v>0</v>
      </c>
      <c r="AY239" s="308">
        <v>30</v>
      </c>
      <c r="AZ239" s="214">
        <f t="shared" si="261"/>
        <v>0.0442</v>
      </c>
      <c r="BA239" s="269">
        <f t="shared" si="268"/>
        <v>1.33</v>
      </c>
      <c r="BB239" s="269">
        <f t="shared" si="269"/>
        <v>0</v>
      </c>
      <c r="BC239" s="198">
        <f t="shared" si="270"/>
        <v>1.33</v>
      </c>
      <c r="BD239" s="199">
        <f t="shared" si="271"/>
        <v>1.33</v>
      </c>
      <c r="BE239" s="237" t="s">
        <v>458</v>
      </c>
      <c r="BF239" s="439" t="s">
        <v>459</v>
      </c>
      <c r="BG239" s="439"/>
      <c r="BH239" s="22" t="s">
        <v>54</v>
      </c>
      <c r="BI239" s="200">
        <f t="shared" si="230"/>
        <v>1.33</v>
      </c>
      <c r="BJ239" s="200">
        <f>ROUND(BI239*$S$19,2)</f>
        <v>0.14</v>
      </c>
      <c r="BK239" s="197">
        <f t="shared" si="231"/>
        <v>0.5</v>
      </c>
      <c r="BL239" s="197">
        <f t="shared" si="232"/>
        <v>0</v>
      </c>
      <c r="BM239" s="197">
        <f t="shared" si="233"/>
        <v>0.02</v>
      </c>
      <c r="BN239" s="201">
        <f t="shared" si="234"/>
        <v>1.46</v>
      </c>
      <c r="BO239" s="202">
        <f t="shared" si="235"/>
        <v>3.45</v>
      </c>
      <c r="BP239" s="203">
        <f>ROUND(BO239*$S$21,2)</f>
        <v>1.04</v>
      </c>
      <c r="BQ239" s="204">
        <f t="shared" si="236"/>
        <v>4.49</v>
      </c>
      <c r="BR239" s="205">
        <f>ROUND(BQ239*$AD$19/95,2)</f>
        <v>0.24</v>
      </c>
      <c r="BS239" s="206">
        <f t="shared" si="237"/>
        <v>4.73</v>
      </c>
      <c r="BT239" s="84"/>
    </row>
    <row r="240" spans="1:72" ht="16.5" customHeight="1">
      <c r="A240" s="24"/>
      <c r="B240" s="239" t="s">
        <v>460</v>
      </c>
      <c r="C240" s="240" t="s">
        <v>461</v>
      </c>
      <c r="D240" s="251"/>
      <c r="E240" s="255"/>
      <c r="F240" s="256"/>
      <c r="G240" s="253"/>
      <c r="H240" s="253"/>
      <c r="I240" s="254"/>
      <c r="J240" s="255"/>
      <c r="K240" s="255"/>
      <c r="L240" s="253"/>
      <c r="M240" s="253"/>
      <c r="N240" s="254"/>
      <c r="O240" s="220"/>
      <c r="P240" s="239" t="s">
        <v>460</v>
      </c>
      <c r="Q240" s="437" t="s">
        <v>461</v>
      </c>
      <c r="R240" s="437"/>
      <c r="S240" s="76"/>
      <c r="T240" s="219"/>
      <c r="U240" s="253"/>
      <c r="V240" s="253"/>
      <c r="W240" s="253"/>
      <c r="X240" s="253"/>
      <c r="Y240" s="253"/>
      <c r="Z240" s="253"/>
      <c r="AA240" s="253"/>
      <c r="AB240" s="253"/>
      <c r="AC240" s="253"/>
      <c r="AD240" s="253"/>
      <c r="AE240" s="220"/>
      <c r="AF240" s="24"/>
      <c r="AG240" s="239" t="s">
        <v>460</v>
      </c>
      <c r="AH240" s="437" t="s">
        <v>461</v>
      </c>
      <c r="AI240" s="437"/>
      <c r="AJ240" s="78"/>
      <c r="AK240" s="78"/>
      <c r="AL240" s="207"/>
      <c r="AM240" s="207"/>
      <c r="AN240" s="207"/>
      <c r="AO240" s="19"/>
      <c r="AP240" s="24"/>
      <c r="AQ240" s="239" t="s">
        <v>460</v>
      </c>
      <c r="AR240" s="437" t="s">
        <v>461</v>
      </c>
      <c r="AS240" s="437"/>
      <c r="AT240" s="29"/>
      <c r="AU240" s="252"/>
      <c r="AV240" s="254"/>
      <c r="AW240" s="254"/>
      <c r="AX240" s="254"/>
      <c r="AY240" s="252"/>
      <c r="AZ240" s="256"/>
      <c r="BA240" s="254"/>
      <c r="BB240" s="254"/>
      <c r="BC240" s="254"/>
      <c r="BD240" s="220"/>
      <c r="BE240" s="239" t="s">
        <v>460</v>
      </c>
      <c r="BF240" s="437" t="s">
        <v>461</v>
      </c>
      <c r="BG240" s="437"/>
      <c r="BH240" s="219"/>
      <c r="BI240" s="253"/>
      <c r="BJ240" s="253"/>
      <c r="BK240" s="253"/>
      <c r="BL240" s="253"/>
      <c r="BM240" s="253"/>
      <c r="BN240" s="253"/>
      <c r="BO240" s="253"/>
      <c r="BP240" s="253"/>
      <c r="BQ240" s="253"/>
      <c r="BR240" s="253"/>
      <c r="BS240" s="220"/>
      <c r="BT240" s="24"/>
    </row>
    <row r="241" spans="1:72" ht="20.25" customHeight="1">
      <c r="A241" s="84"/>
      <c r="B241" s="237" t="s">
        <v>464</v>
      </c>
      <c r="C241" s="238" t="s">
        <v>465</v>
      </c>
      <c r="D241" s="78" t="s">
        <v>53</v>
      </c>
      <c r="E241" s="190">
        <v>8</v>
      </c>
      <c r="F241" s="214">
        <f>$G$15</f>
        <v>0.0565</v>
      </c>
      <c r="G241" s="197">
        <f>ROUND(E241*F241,2)</f>
        <v>0.45</v>
      </c>
      <c r="H241" s="197">
        <f>ROUND(G241*($A$16+$A$17)/100,2)</f>
        <v>0</v>
      </c>
      <c r="I241" s="198">
        <f>SUM(G241:H241)</f>
        <v>0.45</v>
      </c>
      <c r="J241" s="257">
        <v>80</v>
      </c>
      <c r="K241" s="214">
        <f>$G$20</f>
        <v>0.0442</v>
      </c>
      <c r="L241" s="197">
        <f>ROUND(J241*K241,2)</f>
        <v>3.54</v>
      </c>
      <c r="M241" s="197">
        <f>ROUND(L241*($A$16+$A$17)/100,2)</f>
        <v>0</v>
      </c>
      <c r="N241" s="198">
        <f>SUM(L241:M241)</f>
        <v>3.54</v>
      </c>
      <c r="O241" s="199">
        <f>SUM(I241,N241)</f>
        <v>3.99</v>
      </c>
      <c r="P241" s="237" t="s">
        <v>464</v>
      </c>
      <c r="Q241" s="439" t="s">
        <v>465</v>
      </c>
      <c r="R241" s="439"/>
      <c r="S241" s="76"/>
      <c r="T241" s="22" t="s">
        <v>54</v>
      </c>
      <c r="U241" s="200">
        <f>O241</f>
        <v>3.99</v>
      </c>
      <c r="V241" s="200">
        <f>ROUND(U241*$S$19,2)</f>
        <v>0.41</v>
      </c>
      <c r="W241" s="197">
        <f>ROUND(SUM(U241:V241)*$AA$19,2)</f>
        <v>1.5</v>
      </c>
      <c r="X241" s="197">
        <f>ROUND(SUM(U241:V241)*$AA$21,2)</f>
        <v>0</v>
      </c>
      <c r="Y241" s="197">
        <f>ROUND(SUM(U241:V241)*$AA$20,2)</f>
        <v>0.07</v>
      </c>
      <c r="Z241" s="201">
        <f>ROUND(U241*$S$20,2)</f>
        <v>4.38</v>
      </c>
      <c r="AA241" s="202">
        <f>SUM(U241:Z241)</f>
        <v>10.350000000000001</v>
      </c>
      <c r="AB241" s="203">
        <f>ROUND(AA241*$S$21,2)</f>
        <v>3.11</v>
      </c>
      <c r="AC241" s="204">
        <f>SUM(AA241:AB241)</f>
        <v>13.46</v>
      </c>
      <c r="AD241" s="205">
        <f>ROUND(AC241*$AD$19/95,2)</f>
        <v>0.71</v>
      </c>
      <c r="AE241" s="206">
        <f>SUM(AC241:AD241)</f>
        <v>14.170000000000002</v>
      </c>
      <c r="AF241" s="84"/>
      <c r="AG241" s="237" t="s">
        <v>464</v>
      </c>
      <c r="AH241" s="439" t="s">
        <v>465</v>
      </c>
      <c r="AI241" s="439"/>
      <c r="AJ241" s="78" t="s">
        <v>54</v>
      </c>
      <c r="AK241" s="78"/>
      <c r="AL241" s="207">
        <f>AE241</f>
        <v>14.170000000000002</v>
      </c>
      <c r="AM241" s="207"/>
      <c r="AN241" s="207">
        <f>BS241</f>
        <v>11.270000000000001</v>
      </c>
      <c r="AO241" s="19"/>
      <c r="AP241" s="84"/>
      <c r="AQ241" s="237" t="s">
        <v>464</v>
      </c>
      <c r="AR241" s="439" t="s">
        <v>465</v>
      </c>
      <c r="AS241" s="439"/>
      <c r="AT241" s="29">
        <v>50</v>
      </c>
      <c r="AU241" s="29">
        <f t="shared" si="260"/>
        <v>0.0565</v>
      </c>
      <c r="AV241" s="269">
        <f t="shared" si="265"/>
        <v>2.83</v>
      </c>
      <c r="AW241" s="269">
        <f t="shared" si="266"/>
        <v>0</v>
      </c>
      <c r="AX241" s="198">
        <f t="shared" si="267"/>
        <v>2.83</v>
      </c>
      <c r="AY241" s="29">
        <v>8</v>
      </c>
      <c r="AZ241" s="214">
        <f t="shared" si="261"/>
        <v>0.0442</v>
      </c>
      <c r="BA241" s="269">
        <f t="shared" si="268"/>
        <v>0.35</v>
      </c>
      <c r="BB241" s="269">
        <f t="shared" si="269"/>
        <v>0</v>
      </c>
      <c r="BC241" s="198">
        <f t="shared" si="270"/>
        <v>0.35</v>
      </c>
      <c r="BD241" s="199">
        <f t="shared" si="271"/>
        <v>3.18</v>
      </c>
      <c r="BE241" s="237" t="s">
        <v>464</v>
      </c>
      <c r="BF241" s="439" t="s">
        <v>465</v>
      </c>
      <c r="BG241" s="439"/>
      <c r="BH241" s="22" t="s">
        <v>54</v>
      </c>
      <c r="BI241" s="200">
        <f t="shared" si="230"/>
        <v>3.18</v>
      </c>
      <c r="BJ241" s="200">
        <f>ROUND(BI241*$S$19,2)</f>
        <v>0.33</v>
      </c>
      <c r="BK241" s="197">
        <f t="shared" si="231"/>
        <v>1.19</v>
      </c>
      <c r="BL241" s="197">
        <f t="shared" si="232"/>
        <v>0</v>
      </c>
      <c r="BM241" s="197">
        <f t="shared" si="233"/>
        <v>0.05</v>
      </c>
      <c r="BN241" s="201">
        <f t="shared" si="234"/>
        <v>3.49</v>
      </c>
      <c r="BO241" s="202">
        <f t="shared" si="235"/>
        <v>8.24</v>
      </c>
      <c r="BP241" s="203">
        <f>ROUND(BO241*$S$21,2)</f>
        <v>2.47</v>
      </c>
      <c r="BQ241" s="204">
        <f t="shared" si="236"/>
        <v>10.71</v>
      </c>
      <c r="BR241" s="205">
        <f>ROUND(BQ241*$AD$19/95,2)</f>
        <v>0.56</v>
      </c>
      <c r="BS241" s="206">
        <f t="shared" si="237"/>
        <v>11.270000000000001</v>
      </c>
      <c r="BT241" s="84"/>
    </row>
    <row r="242" spans="1:72" ht="18.75" customHeight="1">
      <c r="A242" s="84"/>
      <c r="B242" s="239" t="s">
        <v>39</v>
      </c>
      <c r="C242" s="240" t="s">
        <v>468</v>
      </c>
      <c r="D242" s="251"/>
      <c r="E242" s="255"/>
      <c r="F242" s="256"/>
      <c r="G242" s="253"/>
      <c r="H242" s="253"/>
      <c r="I242" s="254"/>
      <c r="J242" s="255"/>
      <c r="K242" s="255"/>
      <c r="L242" s="253"/>
      <c r="M242" s="253"/>
      <c r="N242" s="254"/>
      <c r="O242" s="220"/>
      <c r="P242" s="239" t="s">
        <v>39</v>
      </c>
      <c r="Q242" s="437" t="s">
        <v>468</v>
      </c>
      <c r="R242" s="437"/>
      <c r="S242" s="76"/>
      <c r="T242" s="219"/>
      <c r="U242" s="253"/>
      <c r="V242" s="253"/>
      <c r="W242" s="253"/>
      <c r="X242" s="253"/>
      <c r="Y242" s="253"/>
      <c r="Z242" s="253"/>
      <c r="AA242" s="253"/>
      <c r="AB242" s="253"/>
      <c r="AC242" s="253"/>
      <c r="AD242" s="253"/>
      <c r="AE242" s="220"/>
      <c r="AF242" s="84"/>
      <c r="AG242" s="239" t="s">
        <v>39</v>
      </c>
      <c r="AH242" s="437" t="s">
        <v>468</v>
      </c>
      <c r="AI242" s="437"/>
      <c r="AJ242" s="78"/>
      <c r="AK242" s="78"/>
      <c r="AL242" s="207"/>
      <c r="AM242" s="207"/>
      <c r="AN242" s="207"/>
      <c r="AO242" s="19"/>
      <c r="AP242" s="84"/>
      <c r="AQ242" s="239" t="s">
        <v>39</v>
      </c>
      <c r="AR242" s="437" t="s">
        <v>468</v>
      </c>
      <c r="AS242" s="437"/>
      <c r="AT242" s="29"/>
      <c r="AU242" s="252"/>
      <c r="AV242" s="254"/>
      <c r="AW242" s="254"/>
      <c r="AX242" s="254"/>
      <c r="AY242" s="252"/>
      <c r="AZ242" s="256"/>
      <c r="BA242" s="254"/>
      <c r="BB242" s="254"/>
      <c r="BC242" s="254"/>
      <c r="BD242" s="220"/>
      <c r="BE242" s="239" t="s">
        <v>39</v>
      </c>
      <c r="BF242" s="437" t="s">
        <v>468</v>
      </c>
      <c r="BG242" s="437"/>
      <c r="BH242" s="219"/>
      <c r="BI242" s="253"/>
      <c r="BJ242" s="253"/>
      <c r="BK242" s="253"/>
      <c r="BL242" s="253"/>
      <c r="BM242" s="253"/>
      <c r="BN242" s="253"/>
      <c r="BO242" s="253"/>
      <c r="BP242" s="253"/>
      <c r="BQ242" s="253"/>
      <c r="BR242" s="253"/>
      <c r="BS242" s="220"/>
      <c r="BT242" s="84"/>
    </row>
    <row r="243" spans="1:72" ht="25.5" customHeight="1">
      <c r="A243" s="84"/>
      <c r="B243" s="237" t="s">
        <v>471</v>
      </c>
      <c r="C243" s="238" t="s">
        <v>472</v>
      </c>
      <c r="D243" s="78" t="s">
        <v>53</v>
      </c>
      <c r="E243" s="190">
        <v>30</v>
      </c>
      <c r="F243" s="214">
        <f>$G$15</f>
        <v>0.0565</v>
      </c>
      <c r="G243" s="197">
        <f>ROUND(E243*F243,2)</f>
        <v>1.7</v>
      </c>
      <c r="H243" s="197">
        <f>ROUND(G243*($A$16+$A$17)/100,2)</f>
        <v>0</v>
      </c>
      <c r="I243" s="198">
        <f>SUM(G243:H243)</f>
        <v>1.7</v>
      </c>
      <c r="J243" s="257">
        <v>0</v>
      </c>
      <c r="K243" s="214">
        <f>$G$20</f>
        <v>0.0442</v>
      </c>
      <c r="L243" s="197">
        <f>ROUND(J243*K243,2)</f>
        <v>0</v>
      </c>
      <c r="M243" s="197">
        <f>ROUND(L243*($A$16+$A$17)/100,2)</f>
        <v>0</v>
      </c>
      <c r="N243" s="198">
        <f>SUM(L243:M243)</f>
        <v>0</v>
      </c>
      <c r="O243" s="199">
        <f>SUM(I243,N243)</f>
        <v>1.7</v>
      </c>
      <c r="P243" s="237" t="s">
        <v>471</v>
      </c>
      <c r="Q243" s="439" t="s">
        <v>472</v>
      </c>
      <c r="R243" s="439"/>
      <c r="S243" s="76"/>
      <c r="T243" s="22" t="s">
        <v>54</v>
      </c>
      <c r="U243" s="200">
        <f>O243</f>
        <v>1.7</v>
      </c>
      <c r="V243" s="200">
        <f>ROUND(U243*$S$19,2)</f>
        <v>0.18</v>
      </c>
      <c r="W243" s="197">
        <f>ROUND(SUM(U243:V243)*$AA$19,2)</f>
        <v>0.64</v>
      </c>
      <c r="X243" s="197">
        <f>ROUND(SUM(U243:V243)*$AA$21,2)</f>
        <v>0</v>
      </c>
      <c r="Y243" s="197">
        <f>ROUND(SUM(U243:V243)*$AA$20,2)</f>
        <v>0.03</v>
      </c>
      <c r="Z243" s="201">
        <f>ROUND(U243*$S$20,2)</f>
        <v>1.87</v>
      </c>
      <c r="AA243" s="202">
        <f>SUM(U243:Z243)</f>
        <v>4.42</v>
      </c>
      <c r="AB243" s="203">
        <f>ROUND(AA243*$S$21,2)</f>
        <v>1.33</v>
      </c>
      <c r="AC243" s="204">
        <f>SUM(AA243:AB243)</f>
        <v>5.75</v>
      </c>
      <c r="AD243" s="205">
        <f>ROUND(AC243*$AD$19/95,2)</f>
        <v>0.3</v>
      </c>
      <c r="AE243" s="206">
        <f>SUM(AC243:AD243)</f>
        <v>6.05</v>
      </c>
      <c r="AF243" s="84"/>
      <c r="AG243" s="237" t="s">
        <v>471</v>
      </c>
      <c r="AH243" s="439" t="s">
        <v>472</v>
      </c>
      <c r="AI243" s="439"/>
      <c r="AJ243" s="78" t="s">
        <v>54</v>
      </c>
      <c r="AK243" s="78"/>
      <c r="AL243" s="207">
        <f>AE243</f>
        <v>6.05</v>
      </c>
      <c r="AM243" s="207"/>
      <c r="AN243" s="207">
        <f>BS243</f>
        <v>0.38000000000000006</v>
      </c>
      <c r="AO243" s="19"/>
      <c r="AP243" s="84"/>
      <c r="AQ243" s="237" t="s">
        <v>471</v>
      </c>
      <c r="AR243" s="439" t="s">
        <v>472</v>
      </c>
      <c r="AS243" s="439"/>
      <c r="AT243" s="29">
        <v>2</v>
      </c>
      <c r="AU243" s="29">
        <f t="shared" si="260"/>
        <v>0.0565</v>
      </c>
      <c r="AV243" s="269">
        <f t="shared" si="265"/>
        <v>0.11</v>
      </c>
      <c r="AW243" s="269">
        <f t="shared" si="266"/>
        <v>0</v>
      </c>
      <c r="AX243" s="198">
        <f t="shared" si="267"/>
        <v>0.11</v>
      </c>
      <c r="AY243" s="29">
        <v>0</v>
      </c>
      <c r="AZ243" s="214">
        <f t="shared" si="261"/>
        <v>0.0442</v>
      </c>
      <c r="BA243" s="269">
        <f t="shared" si="268"/>
        <v>0</v>
      </c>
      <c r="BB243" s="269">
        <f t="shared" si="269"/>
        <v>0</v>
      </c>
      <c r="BC243" s="198">
        <f t="shared" si="270"/>
        <v>0</v>
      </c>
      <c r="BD243" s="199">
        <f t="shared" si="271"/>
        <v>0.11</v>
      </c>
      <c r="BE243" s="237" t="s">
        <v>471</v>
      </c>
      <c r="BF243" s="439" t="s">
        <v>472</v>
      </c>
      <c r="BG243" s="439"/>
      <c r="BH243" s="22" t="s">
        <v>54</v>
      </c>
      <c r="BI243" s="200">
        <f t="shared" si="230"/>
        <v>0.11</v>
      </c>
      <c r="BJ243" s="200">
        <f>ROUND(BI243*$S$19,2)</f>
        <v>0.01</v>
      </c>
      <c r="BK243" s="197">
        <f t="shared" si="231"/>
        <v>0.04</v>
      </c>
      <c r="BL243" s="197">
        <f t="shared" si="232"/>
        <v>0</v>
      </c>
      <c r="BM243" s="197">
        <f t="shared" si="233"/>
        <v>0</v>
      </c>
      <c r="BN243" s="201">
        <f t="shared" si="234"/>
        <v>0.12</v>
      </c>
      <c r="BO243" s="202">
        <f t="shared" si="235"/>
        <v>0.28</v>
      </c>
      <c r="BP243" s="203">
        <f>ROUND(BO243*$S$21,2)</f>
        <v>0.08</v>
      </c>
      <c r="BQ243" s="204">
        <f t="shared" si="236"/>
        <v>0.36000000000000004</v>
      </c>
      <c r="BR243" s="205">
        <f>ROUND(BQ243*$AD$19/95,2)</f>
        <v>0.02</v>
      </c>
      <c r="BS243" s="206">
        <f t="shared" si="237"/>
        <v>0.38000000000000006</v>
      </c>
      <c r="BT243" s="84"/>
    </row>
    <row r="244" spans="1:72" ht="19.5" customHeight="1">
      <c r="A244" s="84"/>
      <c r="B244" s="230" t="s">
        <v>695</v>
      </c>
      <c r="C244" s="244" t="s">
        <v>696</v>
      </c>
      <c r="D244" s="251"/>
      <c r="E244" s="255"/>
      <c r="F244" s="256"/>
      <c r="G244" s="253"/>
      <c r="H244" s="253"/>
      <c r="I244" s="254"/>
      <c r="J244" s="255"/>
      <c r="K244" s="255"/>
      <c r="L244" s="253"/>
      <c r="M244" s="253"/>
      <c r="N244" s="254"/>
      <c r="O244" s="220"/>
      <c r="P244" s="230" t="s">
        <v>695</v>
      </c>
      <c r="Q244" s="441" t="s">
        <v>696</v>
      </c>
      <c r="R244" s="441"/>
      <c r="S244" s="76"/>
      <c r="T244" s="219"/>
      <c r="U244" s="253"/>
      <c r="V244" s="253"/>
      <c r="W244" s="253"/>
      <c r="X244" s="253"/>
      <c r="Y244" s="253"/>
      <c r="Z244" s="253"/>
      <c r="AA244" s="253"/>
      <c r="AB244" s="253"/>
      <c r="AC244" s="253"/>
      <c r="AD244" s="253"/>
      <c r="AE244" s="220"/>
      <c r="AF244" s="84"/>
      <c r="AG244" s="230" t="s">
        <v>695</v>
      </c>
      <c r="AH244" s="441" t="s">
        <v>696</v>
      </c>
      <c r="AI244" s="441"/>
      <c r="AJ244" s="78"/>
      <c r="AK244" s="78"/>
      <c r="AL244" s="207"/>
      <c r="AM244" s="207"/>
      <c r="AN244" s="207"/>
      <c r="AO244" s="19"/>
      <c r="AP244" s="84"/>
      <c r="AQ244" s="230" t="s">
        <v>695</v>
      </c>
      <c r="AR244" s="441" t="s">
        <v>696</v>
      </c>
      <c r="AS244" s="441"/>
      <c r="AT244" s="29"/>
      <c r="AU244" s="252"/>
      <c r="AV244" s="254"/>
      <c r="AW244" s="254"/>
      <c r="AX244" s="254"/>
      <c r="AY244" s="252"/>
      <c r="AZ244" s="252"/>
      <c r="BA244" s="254"/>
      <c r="BB244" s="254"/>
      <c r="BC244" s="254"/>
      <c r="BD244" s="220"/>
      <c r="BE244" s="230" t="s">
        <v>695</v>
      </c>
      <c r="BF244" s="441" t="s">
        <v>696</v>
      </c>
      <c r="BG244" s="441"/>
      <c r="BH244" s="219"/>
      <c r="BI244" s="253"/>
      <c r="BJ244" s="253"/>
      <c r="BK244" s="253"/>
      <c r="BL244" s="253"/>
      <c r="BM244" s="253"/>
      <c r="BN244" s="253"/>
      <c r="BO244" s="253"/>
      <c r="BP244" s="253"/>
      <c r="BQ244" s="253"/>
      <c r="BR244" s="253"/>
      <c r="BS244" s="220"/>
      <c r="BT244" s="84"/>
    </row>
    <row r="245" spans="1:72" ht="17.25" customHeight="1">
      <c r="A245" s="84"/>
      <c r="B245" s="230" t="s">
        <v>43</v>
      </c>
      <c r="C245" s="244" t="s">
        <v>697</v>
      </c>
      <c r="D245" s="251"/>
      <c r="E245" s="255"/>
      <c r="F245" s="256"/>
      <c r="G245" s="253"/>
      <c r="H245" s="253"/>
      <c r="I245" s="254"/>
      <c r="J245" s="255"/>
      <c r="K245" s="255"/>
      <c r="L245" s="253"/>
      <c r="M245" s="253"/>
      <c r="N245" s="254"/>
      <c r="O245" s="220"/>
      <c r="P245" s="230" t="s">
        <v>43</v>
      </c>
      <c r="Q245" s="441" t="s">
        <v>697</v>
      </c>
      <c r="R245" s="441"/>
      <c r="S245" s="76"/>
      <c r="T245" s="219"/>
      <c r="U245" s="253"/>
      <c r="V245" s="253"/>
      <c r="W245" s="253"/>
      <c r="X245" s="253"/>
      <c r="Y245" s="253"/>
      <c r="Z245" s="253"/>
      <c r="AA245" s="253"/>
      <c r="AB245" s="253"/>
      <c r="AC245" s="253"/>
      <c r="AD245" s="253"/>
      <c r="AE245" s="220"/>
      <c r="AF245" s="84"/>
      <c r="AG245" s="230" t="s">
        <v>43</v>
      </c>
      <c r="AH245" s="441" t="s">
        <v>697</v>
      </c>
      <c r="AI245" s="441"/>
      <c r="AJ245" s="78"/>
      <c r="AK245" s="78"/>
      <c r="AL245" s="207"/>
      <c r="AM245" s="207"/>
      <c r="AN245" s="207"/>
      <c r="AO245" s="19"/>
      <c r="AP245" s="84"/>
      <c r="AQ245" s="230" t="s">
        <v>43</v>
      </c>
      <c r="AR245" s="441" t="s">
        <v>697</v>
      </c>
      <c r="AS245" s="441"/>
      <c r="AT245" s="29"/>
      <c r="AU245" s="256"/>
      <c r="AV245" s="254"/>
      <c r="AW245" s="254"/>
      <c r="AX245" s="254"/>
      <c r="AY245" s="252"/>
      <c r="AZ245" s="256"/>
      <c r="BA245" s="254"/>
      <c r="BB245" s="254"/>
      <c r="BC245" s="254"/>
      <c r="BD245" s="220"/>
      <c r="BE245" s="230" t="s">
        <v>43</v>
      </c>
      <c r="BF245" s="441" t="s">
        <v>697</v>
      </c>
      <c r="BG245" s="441"/>
      <c r="BH245" s="219"/>
      <c r="BI245" s="253"/>
      <c r="BJ245" s="253"/>
      <c r="BK245" s="253"/>
      <c r="BL245" s="253"/>
      <c r="BM245" s="253"/>
      <c r="BN245" s="253"/>
      <c r="BO245" s="253"/>
      <c r="BP245" s="253"/>
      <c r="BQ245" s="253"/>
      <c r="BR245" s="253"/>
      <c r="BS245" s="220"/>
      <c r="BT245" s="84"/>
    </row>
    <row r="246" spans="1:72" ht="17.25" customHeight="1">
      <c r="A246" s="84"/>
      <c r="B246" s="230" t="s">
        <v>698</v>
      </c>
      <c r="C246" s="244" t="s">
        <v>699</v>
      </c>
      <c r="D246" s="251"/>
      <c r="E246" s="255"/>
      <c r="F246" s="256"/>
      <c r="G246" s="253"/>
      <c r="H246" s="253"/>
      <c r="I246" s="254"/>
      <c r="J246" s="255"/>
      <c r="K246" s="255"/>
      <c r="L246" s="253"/>
      <c r="M246" s="253"/>
      <c r="N246" s="254"/>
      <c r="O246" s="220"/>
      <c r="P246" s="230" t="s">
        <v>698</v>
      </c>
      <c r="Q246" s="441" t="s">
        <v>699</v>
      </c>
      <c r="R246" s="441"/>
      <c r="S246" s="76"/>
      <c r="T246" s="219"/>
      <c r="U246" s="253"/>
      <c r="V246" s="253"/>
      <c r="W246" s="253"/>
      <c r="X246" s="253"/>
      <c r="Y246" s="253"/>
      <c r="Z246" s="253"/>
      <c r="AA246" s="253"/>
      <c r="AB246" s="253"/>
      <c r="AC246" s="253"/>
      <c r="AD246" s="253"/>
      <c r="AE246" s="220"/>
      <c r="AF246" s="84"/>
      <c r="AG246" s="230" t="s">
        <v>698</v>
      </c>
      <c r="AH246" s="441" t="s">
        <v>699</v>
      </c>
      <c r="AI246" s="441"/>
      <c r="AJ246" s="78"/>
      <c r="AK246" s="78"/>
      <c r="AL246" s="207"/>
      <c r="AM246" s="207"/>
      <c r="AN246" s="207"/>
      <c r="AO246" s="19"/>
      <c r="AP246" s="84"/>
      <c r="AQ246" s="230" t="s">
        <v>698</v>
      </c>
      <c r="AR246" s="441" t="s">
        <v>699</v>
      </c>
      <c r="AS246" s="441"/>
      <c r="AT246" s="29"/>
      <c r="AU246" s="256"/>
      <c r="AV246" s="254"/>
      <c r="AW246" s="254"/>
      <c r="AX246" s="254"/>
      <c r="AY246" s="252"/>
      <c r="AZ246" s="256"/>
      <c r="BA246" s="254"/>
      <c r="BB246" s="254"/>
      <c r="BC246" s="254"/>
      <c r="BD246" s="220"/>
      <c r="BE246" s="230" t="s">
        <v>698</v>
      </c>
      <c r="BF246" s="441" t="s">
        <v>699</v>
      </c>
      <c r="BG246" s="441"/>
      <c r="BH246" s="219"/>
      <c r="BI246" s="253"/>
      <c r="BJ246" s="253"/>
      <c r="BK246" s="253"/>
      <c r="BL246" s="253"/>
      <c r="BM246" s="253"/>
      <c r="BN246" s="253"/>
      <c r="BO246" s="253"/>
      <c r="BP246" s="253"/>
      <c r="BQ246" s="253"/>
      <c r="BR246" s="253"/>
      <c r="BS246" s="220"/>
      <c r="BT246" s="84"/>
    </row>
    <row r="247" spans="1:72" ht="17.25" customHeight="1">
      <c r="A247" s="84"/>
      <c r="B247" s="231" t="s">
        <v>701</v>
      </c>
      <c r="C247" s="232" t="s">
        <v>702</v>
      </c>
      <c r="D247" s="78" t="s">
        <v>53</v>
      </c>
      <c r="E247" s="190">
        <v>0</v>
      </c>
      <c r="F247" s="214">
        <f>$G$16</f>
        <v>0.0606</v>
      </c>
      <c r="G247" s="197">
        <f>ROUND(E247*F247,2)</f>
        <v>0</v>
      </c>
      <c r="H247" s="197">
        <f>ROUND(G247*($A$16+$A$17)/100,2)</f>
        <v>0</v>
      </c>
      <c r="I247" s="198">
        <f>SUM(G247:H247)</f>
        <v>0</v>
      </c>
      <c r="J247" s="257">
        <v>2</v>
      </c>
      <c r="K247" s="214">
        <f>$G$19</f>
        <v>0.0482</v>
      </c>
      <c r="L247" s="197">
        <f>ROUND(J247*K247,2)</f>
        <v>0.1</v>
      </c>
      <c r="M247" s="197">
        <f>ROUND(L247*($A$16+$A$17)/100,2)</f>
        <v>0</v>
      </c>
      <c r="N247" s="198">
        <f>SUM(L247:M247)</f>
        <v>0.1</v>
      </c>
      <c r="O247" s="199">
        <f>SUM(I247,N247)</f>
        <v>0.1</v>
      </c>
      <c r="P247" s="231" t="s">
        <v>701</v>
      </c>
      <c r="Q247" s="461" t="s">
        <v>702</v>
      </c>
      <c r="R247" s="461"/>
      <c r="S247" s="76"/>
      <c r="T247" s="22" t="s">
        <v>717</v>
      </c>
      <c r="U247" s="200">
        <f>O247</f>
        <v>0.1</v>
      </c>
      <c r="V247" s="200">
        <f>ROUND(U247*$S$19,2)</f>
        <v>0.01</v>
      </c>
      <c r="W247" s="197">
        <f>ROUND(SUM(U247:V247)*$AA$19,2)</f>
        <v>0.04</v>
      </c>
      <c r="X247" s="197">
        <f>ROUND(SUM(U247:V247)*$AA$21,2)</f>
        <v>0</v>
      </c>
      <c r="Y247" s="197">
        <f>ROUND(SUM(U247:V247)*$AA$20,2)</f>
        <v>0</v>
      </c>
      <c r="Z247" s="201">
        <f>ROUND(U247*$S$20,2)</f>
        <v>0.11</v>
      </c>
      <c r="AA247" s="202">
        <f>SUM(U247:Z247)</f>
        <v>0.26</v>
      </c>
      <c r="AB247" s="203">
        <f>ROUND(AA247*$S$21,2)</f>
        <v>0.08</v>
      </c>
      <c r="AC247" s="204">
        <f>SUM(AA247:AB247)</f>
        <v>0.34</v>
      </c>
      <c r="AD247" s="205">
        <f>ROUND(AC247*$AD$19/95,2)</f>
        <v>0.02</v>
      </c>
      <c r="AE247" s="206">
        <f>SUM(AC247:AD247)</f>
        <v>0.36000000000000004</v>
      </c>
      <c r="AF247" s="84"/>
      <c r="AG247" s="231" t="s">
        <v>701</v>
      </c>
      <c r="AH247" s="461" t="s">
        <v>702</v>
      </c>
      <c r="AI247" s="461"/>
      <c r="AJ247" s="78"/>
      <c r="AK247" s="78"/>
      <c r="AL247" s="207">
        <f>AE247</f>
        <v>0.36000000000000004</v>
      </c>
      <c r="AM247" s="207"/>
      <c r="AN247" s="207">
        <f>BS247</f>
        <v>0.36000000000000004</v>
      </c>
      <c r="AO247" s="19"/>
      <c r="AP247" s="84"/>
      <c r="AQ247" s="231" t="s">
        <v>701</v>
      </c>
      <c r="AR247" s="461" t="s">
        <v>702</v>
      </c>
      <c r="AS247" s="461"/>
      <c r="AT247" s="29">
        <v>0</v>
      </c>
      <c r="AU247" s="214">
        <f aca="true" t="shared" si="272" ref="AU247:AU287">$AV$16</f>
        <v>0.0606</v>
      </c>
      <c r="AV247" s="269">
        <f aca="true" t="shared" si="273" ref="AV247:AV295">ROUND(AT247*AU247,2)</f>
        <v>0</v>
      </c>
      <c r="AW247" s="269">
        <f aca="true" t="shared" si="274" ref="AW247:AW295">ROUND(AV247*($A$16+$A$17)/100,2)</f>
        <v>0</v>
      </c>
      <c r="AX247" s="198">
        <f aca="true" t="shared" si="275" ref="AX247:AX295">SUM(AV247:AW247)</f>
        <v>0</v>
      </c>
      <c r="AY247" s="29">
        <v>2</v>
      </c>
      <c r="AZ247" s="214">
        <f aca="true" t="shared" si="276" ref="AZ247:AZ287">$AV$19</f>
        <v>0.0482</v>
      </c>
      <c r="BA247" s="269">
        <f aca="true" t="shared" si="277" ref="BA247:BA295">ROUND(AY247*AZ247,2)</f>
        <v>0.1</v>
      </c>
      <c r="BB247" s="269">
        <f aca="true" t="shared" si="278" ref="BB247:BB295">ROUND(BA247*($A$16+$A$17)/100,2)</f>
        <v>0</v>
      </c>
      <c r="BC247" s="198">
        <f aca="true" t="shared" si="279" ref="BC247:BC295">SUM(BA247:BB247)</f>
        <v>0.1</v>
      </c>
      <c r="BD247" s="199">
        <f aca="true" t="shared" si="280" ref="BD247:BD295">SUM(AX247,BC247)</f>
        <v>0.1</v>
      </c>
      <c r="BE247" s="231" t="s">
        <v>701</v>
      </c>
      <c r="BF247" s="461" t="s">
        <v>702</v>
      </c>
      <c r="BG247" s="461"/>
      <c r="BH247" s="22"/>
      <c r="BI247" s="200">
        <f t="shared" si="230"/>
        <v>0.1</v>
      </c>
      <c r="BJ247" s="200">
        <f>ROUND(BI247*$S$19,2)</f>
        <v>0.01</v>
      </c>
      <c r="BK247" s="197">
        <f t="shared" si="231"/>
        <v>0.04</v>
      </c>
      <c r="BL247" s="197">
        <f t="shared" si="232"/>
        <v>0</v>
      </c>
      <c r="BM247" s="197">
        <f t="shared" si="233"/>
        <v>0</v>
      </c>
      <c r="BN247" s="201">
        <f t="shared" si="234"/>
        <v>0.11</v>
      </c>
      <c r="BO247" s="202">
        <f t="shared" si="235"/>
        <v>0.26</v>
      </c>
      <c r="BP247" s="203">
        <f>ROUND(BO247*$S$21,2)</f>
        <v>0.08</v>
      </c>
      <c r="BQ247" s="204">
        <f t="shared" si="236"/>
        <v>0.34</v>
      </c>
      <c r="BR247" s="205">
        <f>ROUND(BQ247*$AD$19/95,2)</f>
        <v>0.02</v>
      </c>
      <c r="BS247" s="206">
        <f t="shared" si="237"/>
        <v>0.36000000000000004</v>
      </c>
      <c r="BT247" s="84"/>
    </row>
    <row r="248" spans="1:72" ht="15.75" customHeight="1">
      <c r="A248" s="84"/>
      <c r="B248" s="237" t="s">
        <v>473</v>
      </c>
      <c r="C248" s="238" t="s">
        <v>474</v>
      </c>
      <c r="D248" s="78" t="s">
        <v>53</v>
      </c>
      <c r="E248" s="190">
        <v>4</v>
      </c>
      <c r="F248" s="214">
        <f>$G$16</f>
        <v>0.0606</v>
      </c>
      <c r="G248" s="197">
        <f>ROUND(E248*F248,2)</f>
        <v>0.24</v>
      </c>
      <c r="H248" s="197">
        <f>ROUND(G248*($A$16+$A$17)/100,2)</f>
        <v>0</v>
      </c>
      <c r="I248" s="198">
        <f>SUM(G248:H248)</f>
        <v>0.24</v>
      </c>
      <c r="J248" s="257">
        <v>4</v>
      </c>
      <c r="K248" s="214">
        <f>$G$19</f>
        <v>0.0482</v>
      </c>
      <c r="L248" s="197">
        <f>ROUND(J248*K248,2)</f>
        <v>0.19</v>
      </c>
      <c r="M248" s="197">
        <f>ROUND(L248*($A$16+$A$17)/100,2)</f>
        <v>0</v>
      </c>
      <c r="N248" s="198">
        <f>SUM(L248:M248)</f>
        <v>0.19</v>
      </c>
      <c r="O248" s="199">
        <f>SUM(I248,N248)</f>
        <v>0.43</v>
      </c>
      <c r="P248" s="237" t="s">
        <v>473</v>
      </c>
      <c r="Q248" s="439" t="s">
        <v>474</v>
      </c>
      <c r="R248" s="439"/>
      <c r="S248" s="76"/>
      <c r="T248" s="22" t="s">
        <v>718</v>
      </c>
      <c r="U248" s="200">
        <f>O248</f>
        <v>0.43</v>
      </c>
      <c r="V248" s="200">
        <f>ROUND(U248*$S$19,2)</f>
        <v>0.04</v>
      </c>
      <c r="W248" s="197">
        <f>ROUND(SUM(U248:V248)*$AA$19,2)</f>
        <v>0.16</v>
      </c>
      <c r="X248" s="197">
        <f>ROUND(SUM(U248:V248)*$AA$21,2)</f>
        <v>0</v>
      </c>
      <c r="Y248" s="197">
        <f>ROUND(SUM(U248:V248)*$AA$20,2)</f>
        <v>0.01</v>
      </c>
      <c r="Z248" s="201">
        <f>ROUND(U248*$S$20,2)</f>
        <v>0.47</v>
      </c>
      <c r="AA248" s="202">
        <f>SUM(U248:Z248)</f>
        <v>1.1099999999999999</v>
      </c>
      <c r="AB248" s="203">
        <f>ROUND(AA248*$S$21,2)</f>
        <v>0.33</v>
      </c>
      <c r="AC248" s="204">
        <f>SUM(AA248:AB248)</f>
        <v>1.44</v>
      </c>
      <c r="AD248" s="205">
        <f>ROUND(AC248*$AD$19/95,2)</f>
        <v>0.08</v>
      </c>
      <c r="AE248" s="206">
        <f>SUM(AC248:AD248)</f>
        <v>1.52</v>
      </c>
      <c r="AF248" s="84"/>
      <c r="AG248" s="237" t="s">
        <v>473</v>
      </c>
      <c r="AH248" s="439" t="s">
        <v>474</v>
      </c>
      <c r="AI248" s="439"/>
      <c r="AJ248" s="78" t="s">
        <v>54</v>
      </c>
      <c r="AK248" s="78"/>
      <c r="AL248" s="207">
        <f>AE248</f>
        <v>1.52</v>
      </c>
      <c r="AM248" s="207"/>
      <c r="AN248" s="207">
        <f>BS248</f>
        <v>0.7700000000000001</v>
      </c>
      <c r="AO248" s="19"/>
      <c r="AP248" s="84"/>
      <c r="AQ248" s="237" t="s">
        <v>473</v>
      </c>
      <c r="AR248" s="439" t="s">
        <v>474</v>
      </c>
      <c r="AS248" s="439"/>
      <c r="AT248" s="29">
        <v>2</v>
      </c>
      <c r="AU248" s="214">
        <f t="shared" si="272"/>
        <v>0.0606</v>
      </c>
      <c r="AV248" s="269">
        <f t="shared" si="273"/>
        <v>0.12</v>
      </c>
      <c r="AW248" s="269">
        <f t="shared" si="274"/>
        <v>0</v>
      </c>
      <c r="AX248" s="198">
        <f t="shared" si="275"/>
        <v>0.12</v>
      </c>
      <c r="AY248" s="29">
        <v>2</v>
      </c>
      <c r="AZ248" s="214">
        <f t="shared" si="276"/>
        <v>0.0482</v>
      </c>
      <c r="BA248" s="269">
        <f t="shared" si="277"/>
        <v>0.1</v>
      </c>
      <c r="BB248" s="269">
        <f t="shared" si="278"/>
        <v>0</v>
      </c>
      <c r="BC248" s="198">
        <f t="shared" si="279"/>
        <v>0.1</v>
      </c>
      <c r="BD248" s="199">
        <f t="shared" si="280"/>
        <v>0.22</v>
      </c>
      <c r="BE248" s="237" t="s">
        <v>473</v>
      </c>
      <c r="BF248" s="439" t="s">
        <v>474</v>
      </c>
      <c r="BG248" s="439"/>
      <c r="BH248" s="22" t="s">
        <v>54</v>
      </c>
      <c r="BI248" s="200">
        <f t="shared" si="230"/>
        <v>0.22</v>
      </c>
      <c r="BJ248" s="200">
        <f>ROUND(BI248*$S$19,2)</f>
        <v>0.02</v>
      </c>
      <c r="BK248" s="197">
        <f t="shared" si="231"/>
        <v>0.08</v>
      </c>
      <c r="BL248" s="197">
        <f t="shared" si="232"/>
        <v>0</v>
      </c>
      <c r="BM248" s="197">
        <f t="shared" si="233"/>
        <v>0</v>
      </c>
      <c r="BN248" s="201">
        <f t="shared" si="234"/>
        <v>0.24</v>
      </c>
      <c r="BO248" s="202">
        <f t="shared" si="235"/>
        <v>0.56</v>
      </c>
      <c r="BP248" s="203">
        <f>ROUND(BO248*$S$21,2)</f>
        <v>0.17</v>
      </c>
      <c r="BQ248" s="204">
        <f t="shared" si="236"/>
        <v>0.7300000000000001</v>
      </c>
      <c r="BR248" s="205">
        <f>ROUND(BQ248*$AD$19/95,2)</f>
        <v>0.04</v>
      </c>
      <c r="BS248" s="206">
        <f t="shared" si="237"/>
        <v>0.7700000000000001</v>
      </c>
      <c r="BT248" s="84"/>
    </row>
    <row r="249" spans="1:72" ht="26.25" customHeight="1">
      <c r="A249" s="84"/>
      <c r="B249" s="237" t="s">
        <v>475</v>
      </c>
      <c r="C249" s="238" t="s">
        <v>476</v>
      </c>
      <c r="D249" s="78" t="s">
        <v>53</v>
      </c>
      <c r="E249" s="190">
        <v>0</v>
      </c>
      <c r="F249" s="214">
        <f>$G$16</f>
        <v>0.0606</v>
      </c>
      <c r="G249" s="197">
        <f>ROUND(E249*F249,2)</f>
        <v>0</v>
      </c>
      <c r="H249" s="197">
        <f>ROUND(G249*($A$16+$A$17)/100,2)</f>
        <v>0</v>
      </c>
      <c r="I249" s="198">
        <f>SUM(G249:H249)</f>
        <v>0</v>
      </c>
      <c r="J249" s="257">
        <v>1.5</v>
      </c>
      <c r="K249" s="214">
        <f>$G$19</f>
        <v>0.0482</v>
      </c>
      <c r="L249" s="197">
        <f>ROUND(J249*K249,2)</f>
        <v>0.07</v>
      </c>
      <c r="M249" s="197">
        <f>ROUND(L249*($A$16+$A$17)/100,2)</f>
        <v>0</v>
      </c>
      <c r="N249" s="198">
        <f>SUM(L249:M249)</f>
        <v>0.07</v>
      </c>
      <c r="O249" s="199">
        <f>SUM(I249,N249)</f>
        <v>0.07</v>
      </c>
      <c r="P249" s="237" t="s">
        <v>475</v>
      </c>
      <c r="Q249" s="439" t="s">
        <v>476</v>
      </c>
      <c r="R249" s="439"/>
      <c r="S249" s="76"/>
      <c r="T249" s="22" t="s">
        <v>54</v>
      </c>
      <c r="U249" s="200">
        <f>O249</f>
        <v>0.07</v>
      </c>
      <c r="V249" s="200">
        <f>ROUND(U249*$S$19,2)</f>
        <v>0.01</v>
      </c>
      <c r="W249" s="197">
        <f>ROUND(SUM(U249:V249)*$AA$19,2)</f>
        <v>0.03</v>
      </c>
      <c r="X249" s="197">
        <f>ROUND(SUM(U249:V249)*$AA$21,2)</f>
        <v>0</v>
      </c>
      <c r="Y249" s="197">
        <f>ROUND(SUM(U249:V249)*$AA$20,2)</f>
        <v>0</v>
      </c>
      <c r="Z249" s="201">
        <f>ROUND(U249*$S$20,2)</f>
        <v>0.08</v>
      </c>
      <c r="AA249" s="202">
        <f>SUM(U249:Z249)</f>
        <v>0.19</v>
      </c>
      <c r="AB249" s="203">
        <f>ROUND(AA249*$S$21,2)</f>
        <v>0.06</v>
      </c>
      <c r="AC249" s="204">
        <f>SUM(AA249:AB249)</f>
        <v>0.25</v>
      </c>
      <c r="AD249" s="205">
        <f>ROUND(AC249*$AD$19/95,2)</f>
        <v>0.01</v>
      </c>
      <c r="AE249" s="206">
        <f>SUM(AC249:AD249)</f>
        <v>0.26</v>
      </c>
      <c r="AF249" s="84"/>
      <c r="AG249" s="237" t="s">
        <v>475</v>
      </c>
      <c r="AH249" s="439" t="s">
        <v>476</v>
      </c>
      <c r="AI249" s="439"/>
      <c r="AJ249" s="78" t="s">
        <v>54</v>
      </c>
      <c r="AK249" s="78"/>
      <c r="AL249" s="207">
        <f>AE249</f>
        <v>0.26</v>
      </c>
      <c r="AM249" s="207"/>
      <c r="AN249" s="207">
        <f>BS249</f>
        <v>0.26</v>
      </c>
      <c r="AO249" s="19"/>
      <c r="AP249" s="84"/>
      <c r="AQ249" s="237" t="s">
        <v>475</v>
      </c>
      <c r="AR249" s="439" t="s">
        <v>476</v>
      </c>
      <c r="AS249" s="439"/>
      <c r="AT249" s="29">
        <v>0</v>
      </c>
      <c r="AU249" s="214">
        <f t="shared" si="272"/>
        <v>0.0606</v>
      </c>
      <c r="AV249" s="269">
        <f t="shared" si="273"/>
        <v>0</v>
      </c>
      <c r="AW249" s="269">
        <f t="shared" si="274"/>
        <v>0</v>
      </c>
      <c r="AX249" s="198">
        <f t="shared" si="275"/>
        <v>0</v>
      </c>
      <c r="AY249" s="29">
        <v>1.5</v>
      </c>
      <c r="AZ249" s="214">
        <f t="shared" si="276"/>
        <v>0.0482</v>
      </c>
      <c r="BA249" s="269">
        <f t="shared" si="277"/>
        <v>0.07</v>
      </c>
      <c r="BB249" s="269">
        <f t="shared" si="278"/>
        <v>0</v>
      </c>
      <c r="BC249" s="198">
        <f t="shared" si="279"/>
        <v>0.07</v>
      </c>
      <c r="BD249" s="199">
        <f t="shared" si="280"/>
        <v>0.07</v>
      </c>
      <c r="BE249" s="237" t="s">
        <v>475</v>
      </c>
      <c r="BF249" s="439" t="s">
        <v>476</v>
      </c>
      <c r="BG249" s="439"/>
      <c r="BH249" s="22" t="s">
        <v>54</v>
      </c>
      <c r="BI249" s="200">
        <f t="shared" si="230"/>
        <v>0.07</v>
      </c>
      <c r="BJ249" s="200">
        <f>ROUND(BI249*$S$19,2)</f>
        <v>0.01</v>
      </c>
      <c r="BK249" s="197">
        <f t="shared" si="231"/>
        <v>0.03</v>
      </c>
      <c r="BL249" s="197">
        <f t="shared" si="232"/>
        <v>0</v>
      </c>
      <c r="BM249" s="197">
        <f t="shared" si="233"/>
        <v>0</v>
      </c>
      <c r="BN249" s="201">
        <f t="shared" si="234"/>
        <v>0.08</v>
      </c>
      <c r="BO249" s="202">
        <f t="shared" si="235"/>
        <v>0.19</v>
      </c>
      <c r="BP249" s="203">
        <f>ROUND(BO249*$S$21,2)</f>
        <v>0.06</v>
      </c>
      <c r="BQ249" s="204">
        <f t="shared" si="236"/>
        <v>0.25</v>
      </c>
      <c r="BR249" s="205">
        <f>ROUND(BQ249*$AD$19/95,2)</f>
        <v>0.01</v>
      </c>
      <c r="BS249" s="206">
        <f t="shared" si="237"/>
        <v>0.26</v>
      </c>
      <c r="BT249" s="84"/>
    </row>
    <row r="250" spans="1:72" ht="21" customHeight="1">
      <c r="A250" s="84"/>
      <c r="B250" s="233" t="s">
        <v>479</v>
      </c>
      <c r="C250" s="234" t="s">
        <v>480</v>
      </c>
      <c r="D250" s="251"/>
      <c r="E250" s="255"/>
      <c r="F250" s="256"/>
      <c r="G250" s="253"/>
      <c r="H250" s="253"/>
      <c r="I250" s="254"/>
      <c r="J250" s="255"/>
      <c r="K250" s="255"/>
      <c r="L250" s="253"/>
      <c r="M250" s="253"/>
      <c r="N250" s="254"/>
      <c r="O250" s="220"/>
      <c r="P250" s="233" t="s">
        <v>479</v>
      </c>
      <c r="Q250" s="442" t="s">
        <v>480</v>
      </c>
      <c r="R250" s="442"/>
      <c r="S250" s="76"/>
      <c r="T250" s="219"/>
      <c r="U250" s="253"/>
      <c r="V250" s="253"/>
      <c r="W250" s="253"/>
      <c r="X250" s="253"/>
      <c r="Y250" s="253"/>
      <c r="Z250" s="253"/>
      <c r="AA250" s="253"/>
      <c r="AB250" s="253"/>
      <c r="AC250" s="253"/>
      <c r="AD250" s="253"/>
      <c r="AE250" s="220"/>
      <c r="AF250" s="84"/>
      <c r="AG250" s="233" t="s">
        <v>479</v>
      </c>
      <c r="AH250" s="442" t="s">
        <v>480</v>
      </c>
      <c r="AI250" s="442"/>
      <c r="AJ250" s="78"/>
      <c r="AK250" s="78"/>
      <c r="AL250" s="207"/>
      <c r="AM250" s="207"/>
      <c r="AN250" s="207"/>
      <c r="AO250" s="19"/>
      <c r="AP250" s="84"/>
      <c r="AQ250" s="233" t="s">
        <v>479</v>
      </c>
      <c r="AR250" s="442" t="s">
        <v>480</v>
      </c>
      <c r="AS250" s="442"/>
      <c r="AT250" s="29"/>
      <c r="AU250" s="256"/>
      <c r="AV250" s="254"/>
      <c r="AW250" s="254"/>
      <c r="AX250" s="254"/>
      <c r="AY250" s="252"/>
      <c r="AZ250" s="256"/>
      <c r="BA250" s="254"/>
      <c r="BB250" s="254"/>
      <c r="BC250" s="254"/>
      <c r="BD250" s="220"/>
      <c r="BE250" s="233" t="s">
        <v>479</v>
      </c>
      <c r="BF250" s="442" t="s">
        <v>480</v>
      </c>
      <c r="BG250" s="442"/>
      <c r="BH250" s="219"/>
      <c r="BI250" s="253"/>
      <c r="BJ250" s="253"/>
      <c r="BK250" s="253"/>
      <c r="BL250" s="253"/>
      <c r="BM250" s="253"/>
      <c r="BN250" s="253"/>
      <c r="BO250" s="253"/>
      <c r="BP250" s="253"/>
      <c r="BQ250" s="253"/>
      <c r="BR250" s="253"/>
      <c r="BS250" s="220"/>
      <c r="BT250" s="84"/>
    </row>
    <row r="251" spans="1:72" ht="28.5" customHeight="1">
      <c r="A251" s="84"/>
      <c r="B251" s="237" t="s">
        <v>481</v>
      </c>
      <c r="C251" s="238" t="s">
        <v>482</v>
      </c>
      <c r="D251" s="78" t="s">
        <v>53</v>
      </c>
      <c r="E251" s="190">
        <v>12</v>
      </c>
      <c r="F251" s="214">
        <f>$G$16</f>
        <v>0.0606</v>
      </c>
      <c r="G251" s="197">
        <f>ROUND(E251*F251,2)</f>
        <v>0.73</v>
      </c>
      <c r="H251" s="197">
        <f>ROUND(G251*($A$16+$A$17)/100,2)</f>
        <v>0</v>
      </c>
      <c r="I251" s="198">
        <f>SUM(G251:H251)</f>
        <v>0.73</v>
      </c>
      <c r="J251" s="257">
        <v>14</v>
      </c>
      <c r="K251" s="214">
        <f>$G$19</f>
        <v>0.0482</v>
      </c>
      <c r="L251" s="197">
        <f>ROUND(J251*K251,2)</f>
        <v>0.67</v>
      </c>
      <c r="M251" s="197">
        <f>ROUND(L251*($A$16+$A$17)/100,2)</f>
        <v>0</v>
      </c>
      <c r="N251" s="198">
        <f>SUM(L251:M251)</f>
        <v>0.67</v>
      </c>
      <c r="O251" s="199">
        <f>SUM(I251,N251)</f>
        <v>1.4</v>
      </c>
      <c r="P251" s="237" t="s">
        <v>481</v>
      </c>
      <c r="Q251" s="439" t="s">
        <v>482</v>
      </c>
      <c r="R251" s="439"/>
      <c r="S251" s="76"/>
      <c r="T251" s="22" t="s">
        <v>54</v>
      </c>
      <c r="U251" s="200">
        <f>O251</f>
        <v>1.4</v>
      </c>
      <c r="V251" s="200">
        <f>ROUND(U251*$S$19,2)</f>
        <v>0.14</v>
      </c>
      <c r="W251" s="197">
        <f>ROUND(SUM(U251:V251)*$AA$19,2)</f>
        <v>0.52</v>
      </c>
      <c r="X251" s="197">
        <f>ROUND(SUM(U251:V251)*$AA$21,2)</f>
        <v>0</v>
      </c>
      <c r="Y251" s="197">
        <f>ROUND(SUM(U251:V251)*$AA$20,2)</f>
        <v>0.02</v>
      </c>
      <c r="Z251" s="201">
        <f>ROUND(U251*$S$20,2)</f>
        <v>1.54</v>
      </c>
      <c r="AA251" s="202">
        <f>SUM(U251:Z251)</f>
        <v>3.62</v>
      </c>
      <c r="AB251" s="203">
        <f>ROUND(AA251*$S$21,2)</f>
        <v>1.09</v>
      </c>
      <c r="AC251" s="204">
        <f>SUM(AA251:AB251)</f>
        <v>4.71</v>
      </c>
      <c r="AD251" s="205">
        <f>ROUND(AC251*$AD$19/95,2)</f>
        <v>0.25</v>
      </c>
      <c r="AE251" s="206">
        <f>SUM(AC251:AD251)</f>
        <v>4.96</v>
      </c>
      <c r="AF251" s="84"/>
      <c r="AG251" s="237" t="s">
        <v>481</v>
      </c>
      <c r="AH251" s="439" t="s">
        <v>482</v>
      </c>
      <c r="AI251" s="439"/>
      <c r="AJ251" s="78" t="s">
        <v>54</v>
      </c>
      <c r="AK251" s="78"/>
      <c r="AL251" s="207">
        <f aca="true" t="shared" si="281" ref="AL251:AL300">AE251</f>
        <v>4.96</v>
      </c>
      <c r="AM251" s="207"/>
      <c r="AN251" s="207">
        <f aca="true" t="shared" si="282" ref="AN251:AN300">BS251</f>
        <v>4.96</v>
      </c>
      <c r="AO251" s="19"/>
      <c r="AP251" s="84"/>
      <c r="AQ251" s="237" t="s">
        <v>481</v>
      </c>
      <c r="AR251" s="439" t="s">
        <v>482</v>
      </c>
      <c r="AS251" s="439"/>
      <c r="AT251" s="29">
        <v>12</v>
      </c>
      <c r="AU251" s="214">
        <f t="shared" si="272"/>
        <v>0.0606</v>
      </c>
      <c r="AV251" s="269">
        <f t="shared" si="273"/>
        <v>0.73</v>
      </c>
      <c r="AW251" s="269">
        <f t="shared" si="274"/>
        <v>0</v>
      </c>
      <c r="AX251" s="198">
        <f t="shared" si="275"/>
        <v>0.73</v>
      </c>
      <c r="AY251" s="29">
        <v>14</v>
      </c>
      <c r="AZ251" s="214">
        <f t="shared" si="276"/>
        <v>0.0482</v>
      </c>
      <c r="BA251" s="269">
        <f t="shared" si="277"/>
        <v>0.67</v>
      </c>
      <c r="BB251" s="269">
        <f t="shared" si="278"/>
        <v>0</v>
      </c>
      <c r="BC251" s="198">
        <f t="shared" si="279"/>
        <v>0.67</v>
      </c>
      <c r="BD251" s="199">
        <f t="shared" si="280"/>
        <v>1.4</v>
      </c>
      <c r="BE251" s="237" t="s">
        <v>481</v>
      </c>
      <c r="BF251" s="439" t="s">
        <v>482</v>
      </c>
      <c r="BG251" s="439"/>
      <c r="BH251" s="22" t="s">
        <v>54</v>
      </c>
      <c r="BI251" s="200">
        <f t="shared" si="230"/>
        <v>1.4</v>
      </c>
      <c r="BJ251" s="200">
        <f>ROUND(BI251*$S$19,2)</f>
        <v>0.14</v>
      </c>
      <c r="BK251" s="197">
        <f t="shared" si="231"/>
        <v>0.52</v>
      </c>
      <c r="BL251" s="197">
        <f t="shared" si="232"/>
        <v>0</v>
      </c>
      <c r="BM251" s="197">
        <f t="shared" si="233"/>
        <v>0.02</v>
      </c>
      <c r="BN251" s="201">
        <f t="shared" si="234"/>
        <v>1.54</v>
      </c>
      <c r="BO251" s="202">
        <f t="shared" si="235"/>
        <v>3.62</v>
      </c>
      <c r="BP251" s="203">
        <f>ROUND(BO251*$S$21,2)</f>
        <v>1.09</v>
      </c>
      <c r="BQ251" s="204">
        <f t="shared" si="236"/>
        <v>4.71</v>
      </c>
      <c r="BR251" s="205">
        <f>ROUND(BQ251*$AD$19/95,2)</f>
        <v>0.25</v>
      </c>
      <c r="BS251" s="206">
        <f t="shared" si="237"/>
        <v>4.96</v>
      </c>
      <c r="BT251" s="84"/>
    </row>
    <row r="252" spans="1:72" ht="51" customHeight="1">
      <c r="A252" s="24"/>
      <c r="B252" s="237" t="s">
        <v>483</v>
      </c>
      <c r="C252" s="238" t="s">
        <v>484</v>
      </c>
      <c r="D252" s="78" t="s">
        <v>53</v>
      </c>
      <c r="E252" s="190">
        <v>5</v>
      </c>
      <c r="F252" s="214">
        <f>$G$16</f>
        <v>0.0606</v>
      </c>
      <c r="G252" s="197">
        <f>ROUND(E252*F252,2)</f>
        <v>0.3</v>
      </c>
      <c r="H252" s="197">
        <f>ROUND(G252*($A$16+$A$17)/100,2)</f>
        <v>0</v>
      </c>
      <c r="I252" s="198">
        <f>SUM(G252:H252)</f>
        <v>0.3</v>
      </c>
      <c r="J252" s="257">
        <v>3</v>
      </c>
      <c r="K252" s="214">
        <f>$G$19</f>
        <v>0.0482</v>
      </c>
      <c r="L252" s="197">
        <f>ROUND(J252*K252,2)</f>
        <v>0.14</v>
      </c>
      <c r="M252" s="197">
        <f>ROUND(L252*($A$16+$A$17)/100,2)</f>
        <v>0</v>
      </c>
      <c r="N252" s="198">
        <f>SUM(L252:M252)</f>
        <v>0.14</v>
      </c>
      <c r="O252" s="199">
        <f>SUM(I252,N252)</f>
        <v>0.44</v>
      </c>
      <c r="P252" s="237" t="s">
        <v>483</v>
      </c>
      <c r="Q252" s="439" t="s">
        <v>484</v>
      </c>
      <c r="R252" s="439"/>
      <c r="S252" s="76"/>
      <c r="T252" s="22" t="s">
        <v>54</v>
      </c>
      <c r="U252" s="200">
        <f>O252</f>
        <v>0.44</v>
      </c>
      <c r="V252" s="200">
        <f>ROUND(U252*$S$19,2)</f>
        <v>0.05</v>
      </c>
      <c r="W252" s="197">
        <f>ROUND(SUM(U252:V252)*$AA$19,2)</f>
        <v>0.17</v>
      </c>
      <c r="X252" s="197">
        <f>ROUND(SUM(U252:V252)*$AA$21,2)</f>
        <v>0</v>
      </c>
      <c r="Y252" s="197">
        <f>ROUND(SUM(U252:V252)*$AA$20,2)</f>
        <v>0.01</v>
      </c>
      <c r="Z252" s="201">
        <f>ROUND(U252*$S$20,2)</f>
        <v>0.48</v>
      </c>
      <c r="AA252" s="202">
        <f>SUM(U252:Z252)</f>
        <v>1.15</v>
      </c>
      <c r="AB252" s="203">
        <f>ROUND(AA252*$S$21,2)</f>
        <v>0.35</v>
      </c>
      <c r="AC252" s="204">
        <f>SUM(AA252:AB252)</f>
        <v>1.5</v>
      </c>
      <c r="AD252" s="205">
        <f>ROUND(AC252*$AD$19/95,2)</f>
        <v>0.08</v>
      </c>
      <c r="AE252" s="206">
        <f>SUM(AC252:AD252)</f>
        <v>1.58</v>
      </c>
      <c r="AF252" s="24"/>
      <c r="AG252" s="237" t="s">
        <v>483</v>
      </c>
      <c r="AH252" s="439" t="s">
        <v>484</v>
      </c>
      <c r="AI252" s="439"/>
      <c r="AJ252" s="78"/>
      <c r="AK252" s="78"/>
      <c r="AL252" s="207">
        <f t="shared" si="281"/>
        <v>1.58</v>
      </c>
      <c r="AM252" s="207"/>
      <c r="AN252" s="207">
        <f t="shared" si="282"/>
        <v>1.58</v>
      </c>
      <c r="AO252" s="19"/>
      <c r="AP252" s="24"/>
      <c r="AQ252" s="237" t="s">
        <v>483</v>
      </c>
      <c r="AR252" s="439" t="s">
        <v>484</v>
      </c>
      <c r="AS252" s="439"/>
      <c r="AT252" s="29">
        <v>5</v>
      </c>
      <c r="AU252" s="214">
        <f t="shared" si="272"/>
        <v>0.0606</v>
      </c>
      <c r="AV252" s="269">
        <f t="shared" si="273"/>
        <v>0.3</v>
      </c>
      <c r="AW252" s="269">
        <f t="shared" si="274"/>
        <v>0</v>
      </c>
      <c r="AX252" s="198">
        <f t="shared" si="275"/>
        <v>0.3</v>
      </c>
      <c r="AY252" s="29">
        <v>3</v>
      </c>
      <c r="AZ252" s="214">
        <f t="shared" si="276"/>
        <v>0.0482</v>
      </c>
      <c r="BA252" s="269">
        <f t="shared" si="277"/>
        <v>0.14</v>
      </c>
      <c r="BB252" s="269">
        <f t="shared" si="278"/>
        <v>0</v>
      </c>
      <c r="BC252" s="198">
        <f t="shared" si="279"/>
        <v>0.14</v>
      </c>
      <c r="BD252" s="199">
        <f t="shared" si="280"/>
        <v>0.44</v>
      </c>
      <c r="BE252" s="237" t="s">
        <v>483</v>
      </c>
      <c r="BF252" s="439" t="s">
        <v>484</v>
      </c>
      <c r="BG252" s="439"/>
      <c r="BH252" s="136"/>
      <c r="BI252" s="200">
        <f t="shared" si="230"/>
        <v>0.44</v>
      </c>
      <c r="BJ252" s="200">
        <f aca="true" t="shared" si="283" ref="BJ252:BJ305">ROUND(BI252*$S$19,2)</f>
        <v>0.05</v>
      </c>
      <c r="BK252" s="197">
        <f t="shared" si="231"/>
        <v>0.17</v>
      </c>
      <c r="BL252" s="197">
        <f t="shared" si="232"/>
        <v>0</v>
      </c>
      <c r="BM252" s="197">
        <f t="shared" si="233"/>
        <v>0.01</v>
      </c>
      <c r="BN252" s="201">
        <f t="shared" si="234"/>
        <v>0.48</v>
      </c>
      <c r="BO252" s="202">
        <f t="shared" si="235"/>
        <v>1.15</v>
      </c>
      <c r="BP252" s="203">
        <f aca="true" t="shared" si="284" ref="BP252:BP305">ROUND(BO252*$S$21,2)</f>
        <v>0.35</v>
      </c>
      <c r="BQ252" s="204">
        <f t="shared" si="236"/>
        <v>1.5</v>
      </c>
      <c r="BR252" s="205">
        <f aca="true" t="shared" si="285" ref="BR252:BR305">ROUND(BQ252*$AD$19/95,2)</f>
        <v>0.08</v>
      </c>
      <c r="BS252" s="206">
        <f t="shared" si="237"/>
        <v>1.58</v>
      </c>
      <c r="BT252" s="24"/>
    </row>
    <row r="253" spans="1:72" ht="38.25" customHeight="1">
      <c r="A253" s="24"/>
      <c r="B253" s="237" t="s">
        <v>485</v>
      </c>
      <c r="C253" s="238" t="s">
        <v>486</v>
      </c>
      <c r="D253" s="78" t="s">
        <v>53</v>
      </c>
      <c r="E253" s="190">
        <v>5</v>
      </c>
      <c r="F253" s="214">
        <f>$G$16</f>
        <v>0.0606</v>
      </c>
      <c r="G253" s="197">
        <f>ROUND(E253*F253,2)</f>
        <v>0.3</v>
      </c>
      <c r="H253" s="197">
        <f>ROUND(G253*($A$16+$A$17)/100,2)</f>
        <v>0</v>
      </c>
      <c r="I253" s="198">
        <f>SUM(G253:H253)</f>
        <v>0.3</v>
      </c>
      <c r="J253" s="257">
        <v>3</v>
      </c>
      <c r="K253" s="214">
        <f>$G$19</f>
        <v>0.0482</v>
      </c>
      <c r="L253" s="197">
        <f>ROUND(J253*K253,2)</f>
        <v>0.14</v>
      </c>
      <c r="M253" s="197">
        <f>ROUND(L253*($A$16+$A$17)/100,2)</f>
        <v>0</v>
      </c>
      <c r="N253" s="198">
        <f>SUM(L253:M253)</f>
        <v>0.14</v>
      </c>
      <c r="O253" s="199">
        <f>SUM(I253,N253)</f>
        <v>0.44</v>
      </c>
      <c r="P253" s="237" t="s">
        <v>485</v>
      </c>
      <c r="Q253" s="439" t="s">
        <v>486</v>
      </c>
      <c r="R253" s="439"/>
      <c r="S253" s="76"/>
      <c r="T253" s="22" t="s">
        <v>54</v>
      </c>
      <c r="U253" s="200">
        <f>O253</f>
        <v>0.44</v>
      </c>
      <c r="V253" s="200">
        <f>ROUND(U253*$S$19,2)</f>
        <v>0.05</v>
      </c>
      <c r="W253" s="197">
        <f>ROUND(SUM(U253:V253)*$AA$19,2)</f>
        <v>0.17</v>
      </c>
      <c r="X253" s="197">
        <f>ROUND(SUM(U253:V253)*$AA$21,2)</f>
        <v>0</v>
      </c>
      <c r="Y253" s="197">
        <f>ROUND(SUM(U253:V253)*$AA$20,2)</f>
        <v>0.01</v>
      </c>
      <c r="Z253" s="201">
        <f>ROUND(U253*$S$20,2)</f>
        <v>0.48</v>
      </c>
      <c r="AA253" s="202">
        <f>SUM(U253:Z253)</f>
        <v>1.15</v>
      </c>
      <c r="AB253" s="203">
        <f>ROUND(AA253*$S$21,2)</f>
        <v>0.35</v>
      </c>
      <c r="AC253" s="204">
        <f>SUM(AA253:AB253)</f>
        <v>1.5</v>
      </c>
      <c r="AD253" s="205">
        <f>ROUND(AC253*$AD$19/95,2)</f>
        <v>0.08</v>
      </c>
      <c r="AE253" s="206">
        <f>SUM(AC253:AD253)</f>
        <v>1.58</v>
      </c>
      <c r="AF253" s="24"/>
      <c r="AG253" s="237" t="s">
        <v>485</v>
      </c>
      <c r="AH253" s="439" t="s">
        <v>486</v>
      </c>
      <c r="AI253" s="439"/>
      <c r="AJ253" s="78"/>
      <c r="AK253" s="78"/>
      <c r="AL253" s="207">
        <f t="shared" si="281"/>
        <v>1.58</v>
      </c>
      <c r="AM253" s="207"/>
      <c r="AN253" s="207">
        <f t="shared" si="282"/>
        <v>1.58</v>
      </c>
      <c r="AO253" s="19"/>
      <c r="AP253" s="118"/>
      <c r="AQ253" s="237" t="s">
        <v>485</v>
      </c>
      <c r="AR253" s="439" t="s">
        <v>486</v>
      </c>
      <c r="AS253" s="439"/>
      <c r="AT253" s="119">
        <v>5</v>
      </c>
      <c r="AU253" s="214">
        <f t="shared" si="272"/>
        <v>0.0606</v>
      </c>
      <c r="AV253" s="269">
        <f t="shared" si="273"/>
        <v>0.3</v>
      </c>
      <c r="AW253" s="269">
        <f t="shared" si="274"/>
        <v>0</v>
      </c>
      <c r="AX253" s="198">
        <f t="shared" si="275"/>
        <v>0.3</v>
      </c>
      <c r="AY253" s="29">
        <v>3</v>
      </c>
      <c r="AZ253" s="214">
        <f t="shared" si="276"/>
        <v>0.0482</v>
      </c>
      <c r="BA253" s="269">
        <f t="shared" si="277"/>
        <v>0.14</v>
      </c>
      <c r="BB253" s="269">
        <f t="shared" si="278"/>
        <v>0</v>
      </c>
      <c r="BC253" s="198">
        <f t="shared" si="279"/>
        <v>0.14</v>
      </c>
      <c r="BD253" s="199">
        <f t="shared" si="280"/>
        <v>0.44</v>
      </c>
      <c r="BE253" s="237" t="s">
        <v>485</v>
      </c>
      <c r="BF253" s="439" t="s">
        <v>486</v>
      </c>
      <c r="BG253" s="439"/>
      <c r="BH253" s="136"/>
      <c r="BI253" s="200">
        <f t="shared" si="230"/>
        <v>0.44</v>
      </c>
      <c r="BJ253" s="200">
        <f t="shared" si="283"/>
        <v>0.05</v>
      </c>
      <c r="BK253" s="197">
        <f t="shared" si="231"/>
        <v>0.17</v>
      </c>
      <c r="BL253" s="197">
        <f t="shared" si="232"/>
        <v>0</v>
      </c>
      <c r="BM253" s="197">
        <f t="shared" si="233"/>
        <v>0.01</v>
      </c>
      <c r="BN253" s="201">
        <f t="shared" si="234"/>
        <v>0.48</v>
      </c>
      <c r="BO253" s="202">
        <f t="shared" si="235"/>
        <v>1.15</v>
      </c>
      <c r="BP253" s="203">
        <f t="shared" si="284"/>
        <v>0.35</v>
      </c>
      <c r="BQ253" s="204">
        <f t="shared" si="236"/>
        <v>1.5</v>
      </c>
      <c r="BR253" s="205">
        <f t="shared" si="285"/>
        <v>0.08</v>
      </c>
      <c r="BS253" s="206">
        <f t="shared" si="237"/>
        <v>1.58</v>
      </c>
      <c r="BT253" s="24"/>
    </row>
    <row r="254" spans="1:72" ht="38.25" customHeight="1">
      <c r="A254" s="24"/>
      <c r="B254" s="237" t="s">
        <v>487</v>
      </c>
      <c r="C254" s="238" t="s">
        <v>488</v>
      </c>
      <c r="D254" s="78" t="s">
        <v>53</v>
      </c>
      <c r="E254" s="190">
        <v>3</v>
      </c>
      <c r="F254" s="214">
        <f>$G$16</f>
        <v>0.0606</v>
      </c>
      <c r="G254" s="197">
        <f>ROUND(E254*F254,2)</f>
        <v>0.18</v>
      </c>
      <c r="H254" s="197">
        <f>ROUND(G254*($A$16+$A$17)/100,2)</f>
        <v>0</v>
      </c>
      <c r="I254" s="198">
        <f>SUM(G254:H254)</f>
        <v>0.18</v>
      </c>
      <c r="J254" s="257">
        <v>11</v>
      </c>
      <c r="K254" s="214">
        <f>$G$19</f>
        <v>0.0482</v>
      </c>
      <c r="L254" s="197">
        <f>ROUND(J254*K254,2)</f>
        <v>0.53</v>
      </c>
      <c r="M254" s="197">
        <f>ROUND(L254*($A$16+$A$17)/100,2)</f>
        <v>0</v>
      </c>
      <c r="N254" s="198">
        <f>SUM(L254:M254)</f>
        <v>0.53</v>
      </c>
      <c r="O254" s="199">
        <f>SUM(I254,N254)</f>
        <v>0.71</v>
      </c>
      <c r="P254" s="237" t="s">
        <v>487</v>
      </c>
      <c r="Q254" s="439" t="s">
        <v>488</v>
      </c>
      <c r="R254" s="439"/>
      <c r="S254" s="76"/>
      <c r="T254" s="22" t="s">
        <v>54</v>
      </c>
      <c r="U254" s="200">
        <f>O254</f>
        <v>0.71</v>
      </c>
      <c r="V254" s="200">
        <f>ROUND(U254*$S$19,2)</f>
        <v>0.07</v>
      </c>
      <c r="W254" s="197">
        <f>ROUND(SUM(U254:V254)*$AA$19,2)</f>
        <v>0.27</v>
      </c>
      <c r="X254" s="197">
        <f>ROUND(SUM(U254:V254)*$AA$21,2)</f>
        <v>0</v>
      </c>
      <c r="Y254" s="197">
        <f>ROUND(SUM(U254:V254)*$AA$20,2)</f>
        <v>0.01</v>
      </c>
      <c r="Z254" s="201">
        <f>ROUND(U254*$S$20,2)</f>
        <v>0.78</v>
      </c>
      <c r="AA254" s="202">
        <f>SUM(U254:Z254)</f>
        <v>1.84</v>
      </c>
      <c r="AB254" s="203">
        <f>ROUND(AA254*$S$21,2)</f>
        <v>0.55</v>
      </c>
      <c r="AC254" s="204">
        <f>SUM(AA254:AB254)</f>
        <v>2.39</v>
      </c>
      <c r="AD254" s="205">
        <f>ROUND(AC254*$AD$19/95,2)</f>
        <v>0.13</v>
      </c>
      <c r="AE254" s="206">
        <f>SUM(AC254:AD254)</f>
        <v>2.52</v>
      </c>
      <c r="AF254" s="24"/>
      <c r="AG254" s="237" t="s">
        <v>487</v>
      </c>
      <c r="AH254" s="439" t="s">
        <v>488</v>
      </c>
      <c r="AI254" s="439"/>
      <c r="AJ254" s="78"/>
      <c r="AK254" s="78"/>
      <c r="AL254" s="207">
        <f t="shared" si="281"/>
        <v>2.52</v>
      </c>
      <c r="AM254" s="207"/>
      <c r="AN254" s="207">
        <f t="shared" si="282"/>
        <v>2.52</v>
      </c>
      <c r="AO254" s="19"/>
      <c r="AP254" s="118"/>
      <c r="AQ254" s="237" t="s">
        <v>487</v>
      </c>
      <c r="AR254" s="439" t="s">
        <v>488</v>
      </c>
      <c r="AS254" s="439"/>
      <c r="AT254" s="119">
        <v>3</v>
      </c>
      <c r="AU254" s="214">
        <f t="shared" si="272"/>
        <v>0.0606</v>
      </c>
      <c r="AV254" s="269">
        <f t="shared" si="273"/>
        <v>0.18</v>
      </c>
      <c r="AW254" s="269">
        <f t="shared" si="274"/>
        <v>0</v>
      </c>
      <c r="AX254" s="198">
        <f t="shared" si="275"/>
        <v>0.18</v>
      </c>
      <c r="AY254" s="29">
        <v>11</v>
      </c>
      <c r="AZ254" s="214">
        <f t="shared" si="276"/>
        <v>0.0482</v>
      </c>
      <c r="BA254" s="269">
        <f t="shared" si="277"/>
        <v>0.53</v>
      </c>
      <c r="BB254" s="269">
        <f t="shared" si="278"/>
        <v>0</v>
      </c>
      <c r="BC254" s="198">
        <f t="shared" si="279"/>
        <v>0.53</v>
      </c>
      <c r="BD254" s="199">
        <f t="shared" si="280"/>
        <v>0.71</v>
      </c>
      <c r="BE254" s="237" t="s">
        <v>487</v>
      </c>
      <c r="BF254" s="439" t="s">
        <v>488</v>
      </c>
      <c r="BG254" s="439"/>
      <c r="BH254" s="136"/>
      <c r="BI254" s="200">
        <f t="shared" si="230"/>
        <v>0.71</v>
      </c>
      <c r="BJ254" s="200">
        <f t="shared" si="283"/>
        <v>0.07</v>
      </c>
      <c r="BK254" s="197">
        <f t="shared" si="231"/>
        <v>0.27</v>
      </c>
      <c r="BL254" s="197">
        <f t="shared" si="232"/>
        <v>0</v>
      </c>
      <c r="BM254" s="197">
        <f t="shared" si="233"/>
        <v>0.01</v>
      </c>
      <c r="BN254" s="201">
        <f t="shared" si="234"/>
        <v>0.78</v>
      </c>
      <c r="BO254" s="202">
        <f t="shared" si="235"/>
        <v>1.84</v>
      </c>
      <c r="BP254" s="203">
        <f t="shared" si="284"/>
        <v>0.55</v>
      </c>
      <c r="BQ254" s="204">
        <f t="shared" si="236"/>
        <v>2.39</v>
      </c>
      <c r="BR254" s="205">
        <f t="shared" si="285"/>
        <v>0.13</v>
      </c>
      <c r="BS254" s="206">
        <f t="shared" si="237"/>
        <v>2.52</v>
      </c>
      <c r="BT254" s="24"/>
    </row>
    <row r="255" spans="1:72" ht="51" customHeight="1">
      <c r="A255" s="24"/>
      <c r="B255" s="233" t="s">
        <v>489</v>
      </c>
      <c r="C255" s="234" t="s">
        <v>490</v>
      </c>
      <c r="D255" s="251"/>
      <c r="E255" s="255"/>
      <c r="F255" s="256"/>
      <c r="G255" s="253"/>
      <c r="H255" s="253"/>
      <c r="I255" s="254"/>
      <c r="J255" s="255"/>
      <c r="K255" s="255"/>
      <c r="L255" s="253"/>
      <c r="M255" s="253"/>
      <c r="N255" s="254"/>
      <c r="O255" s="220"/>
      <c r="P255" s="233" t="s">
        <v>489</v>
      </c>
      <c r="Q255" s="442" t="s">
        <v>490</v>
      </c>
      <c r="R255" s="442"/>
      <c r="S255" s="76"/>
      <c r="T255" s="219"/>
      <c r="U255" s="253"/>
      <c r="V255" s="253"/>
      <c r="W255" s="253"/>
      <c r="X255" s="253"/>
      <c r="Y255" s="253"/>
      <c r="Z255" s="253"/>
      <c r="AA255" s="253"/>
      <c r="AB255" s="253"/>
      <c r="AC255" s="253"/>
      <c r="AD255" s="253"/>
      <c r="AE255" s="220"/>
      <c r="AF255" s="24"/>
      <c r="AG255" s="233" t="s">
        <v>489</v>
      </c>
      <c r="AH255" s="442" t="s">
        <v>490</v>
      </c>
      <c r="AI255" s="442"/>
      <c r="AJ255" s="78"/>
      <c r="AK255" s="78"/>
      <c r="AL255" s="207"/>
      <c r="AM255" s="207"/>
      <c r="AN255" s="207"/>
      <c r="AO255" s="19"/>
      <c r="AP255" s="118"/>
      <c r="AQ255" s="233" t="s">
        <v>489</v>
      </c>
      <c r="AR255" s="442" t="s">
        <v>490</v>
      </c>
      <c r="AS255" s="442"/>
      <c r="AT255" s="119"/>
      <c r="AU255" s="256"/>
      <c r="AV255" s="254"/>
      <c r="AW255" s="254"/>
      <c r="AX255" s="254"/>
      <c r="AY255" s="252"/>
      <c r="AZ255" s="256"/>
      <c r="BA255" s="254"/>
      <c r="BB255" s="254"/>
      <c r="BC255" s="254"/>
      <c r="BD255" s="220"/>
      <c r="BE255" s="233" t="s">
        <v>489</v>
      </c>
      <c r="BF255" s="442" t="s">
        <v>490</v>
      </c>
      <c r="BG255" s="442"/>
      <c r="BH255" s="136"/>
      <c r="BI255" s="253"/>
      <c r="BJ255" s="253"/>
      <c r="BK255" s="253"/>
      <c r="BL255" s="253"/>
      <c r="BM255" s="253"/>
      <c r="BN255" s="253"/>
      <c r="BO255" s="253"/>
      <c r="BP255" s="253"/>
      <c r="BQ255" s="253"/>
      <c r="BR255" s="253"/>
      <c r="BS255" s="220"/>
      <c r="BT255" s="24"/>
    </row>
    <row r="256" spans="1:72" ht="38.25" customHeight="1">
      <c r="A256" s="24"/>
      <c r="B256" s="233" t="s">
        <v>491</v>
      </c>
      <c r="C256" s="234" t="s">
        <v>492</v>
      </c>
      <c r="D256" s="251"/>
      <c r="E256" s="255"/>
      <c r="F256" s="256"/>
      <c r="G256" s="253"/>
      <c r="H256" s="253"/>
      <c r="I256" s="254"/>
      <c r="J256" s="255"/>
      <c r="K256" s="255"/>
      <c r="L256" s="253"/>
      <c r="M256" s="253"/>
      <c r="N256" s="254"/>
      <c r="O256" s="220"/>
      <c r="P256" s="233" t="s">
        <v>491</v>
      </c>
      <c r="Q256" s="442" t="s">
        <v>492</v>
      </c>
      <c r="R256" s="442"/>
      <c r="S256" s="76"/>
      <c r="T256" s="219"/>
      <c r="U256" s="253"/>
      <c r="V256" s="253"/>
      <c r="W256" s="253"/>
      <c r="X256" s="253"/>
      <c r="Y256" s="253"/>
      <c r="Z256" s="253"/>
      <c r="AA256" s="253"/>
      <c r="AB256" s="253"/>
      <c r="AC256" s="253"/>
      <c r="AD256" s="253"/>
      <c r="AE256" s="220"/>
      <c r="AF256" s="24"/>
      <c r="AG256" s="233" t="s">
        <v>491</v>
      </c>
      <c r="AH256" s="442" t="s">
        <v>492</v>
      </c>
      <c r="AI256" s="442"/>
      <c r="AJ256" s="78"/>
      <c r="AK256" s="78"/>
      <c r="AL256" s="207"/>
      <c r="AM256" s="207"/>
      <c r="AN256" s="207"/>
      <c r="AO256" s="19"/>
      <c r="AP256" s="118"/>
      <c r="AQ256" s="233" t="s">
        <v>491</v>
      </c>
      <c r="AR256" s="442" t="s">
        <v>492</v>
      </c>
      <c r="AS256" s="442"/>
      <c r="AT256" s="270"/>
      <c r="AU256" s="256"/>
      <c r="AV256" s="254"/>
      <c r="AW256" s="254"/>
      <c r="AX256" s="254"/>
      <c r="AY256" s="252"/>
      <c r="AZ256" s="256"/>
      <c r="BA256" s="254"/>
      <c r="BB256" s="254"/>
      <c r="BC256" s="254"/>
      <c r="BD256" s="220"/>
      <c r="BE256" s="233" t="s">
        <v>491</v>
      </c>
      <c r="BF256" s="442" t="s">
        <v>492</v>
      </c>
      <c r="BG256" s="442"/>
      <c r="BH256" s="22"/>
      <c r="BI256" s="253"/>
      <c r="BJ256" s="253"/>
      <c r="BK256" s="253"/>
      <c r="BL256" s="253"/>
      <c r="BM256" s="253"/>
      <c r="BN256" s="253"/>
      <c r="BO256" s="253"/>
      <c r="BP256" s="253"/>
      <c r="BQ256" s="253"/>
      <c r="BR256" s="253"/>
      <c r="BS256" s="220"/>
      <c r="BT256" s="24"/>
    </row>
    <row r="257" spans="1:72" ht="42" customHeight="1">
      <c r="A257" s="84"/>
      <c r="B257" s="237" t="s">
        <v>493</v>
      </c>
      <c r="C257" s="238" t="s">
        <v>494</v>
      </c>
      <c r="D257" s="78" t="s">
        <v>53</v>
      </c>
      <c r="E257" s="190">
        <v>15</v>
      </c>
      <c r="F257" s="214">
        <f aca="true" t="shared" si="286" ref="F257:F262">$G$16</f>
        <v>0.0606</v>
      </c>
      <c r="G257" s="197">
        <f aca="true" t="shared" si="287" ref="G257:G263">ROUND(E257*F257,2)</f>
        <v>0.91</v>
      </c>
      <c r="H257" s="197">
        <f aca="true" t="shared" si="288" ref="H257:H263">ROUND(G257*($A$16+$A$17)/100,2)</f>
        <v>0</v>
      </c>
      <c r="I257" s="198">
        <f aca="true" t="shared" si="289" ref="I257:I263">SUM(G257:H257)</f>
        <v>0.91</v>
      </c>
      <c r="J257" s="257">
        <v>40</v>
      </c>
      <c r="K257" s="214">
        <f aca="true" t="shared" si="290" ref="K257:K262">$G$19</f>
        <v>0.0482</v>
      </c>
      <c r="L257" s="197">
        <f aca="true" t="shared" si="291" ref="L257:L263">ROUND(J257*K257,2)</f>
        <v>1.93</v>
      </c>
      <c r="M257" s="197">
        <f aca="true" t="shared" si="292" ref="M257:M263">ROUND(L257*($A$16+$A$17)/100,2)</f>
        <v>0</v>
      </c>
      <c r="N257" s="198">
        <f aca="true" t="shared" si="293" ref="N257:N263">SUM(L257:M257)</f>
        <v>1.93</v>
      </c>
      <c r="O257" s="199">
        <f aca="true" t="shared" si="294" ref="O257:O263">SUM(I257,N257)</f>
        <v>2.84</v>
      </c>
      <c r="P257" s="237" t="s">
        <v>493</v>
      </c>
      <c r="Q257" s="439" t="s">
        <v>494</v>
      </c>
      <c r="R257" s="439"/>
      <c r="S257" s="76"/>
      <c r="T257" s="22" t="s">
        <v>54</v>
      </c>
      <c r="U257" s="200">
        <f aca="true" t="shared" si="295" ref="U257:U311">O257</f>
        <v>2.84</v>
      </c>
      <c r="V257" s="200">
        <f aca="true" t="shared" si="296" ref="V257:V311">ROUND(U257*$S$19,2)</f>
        <v>0.29</v>
      </c>
      <c r="W257" s="197">
        <f aca="true" t="shared" si="297" ref="W257:W311">ROUND(SUM(U257:V257)*$AA$19,2)</f>
        <v>1.06</v>
      </c>
      <c r="X257" s="197">
        <f aca="true" t="shared" si="298" ref="X257:X311">ROUND(SUM(U257:V257)*$AA$21,2)</f>
        <v>0</v>
      </c>
      <c r="Y257" s="197">
        <f aca="true" t="shared" si="299" ref="Y257:Y311">ROUND(SUM(U257:V257)*$AA$20,2)</f>
        <v>0.05</v>
      </c>
      <c r="Z257" s="201">
        <f aca="true" t="shared" si="300" ref="Z257:Z311">ROUND(U257*$S$20,2)</f>
        <v>3.12</v>
      </c>
      <c r="AA257" s="202">
        <f aca="true" t="shared" si="301" ref="AA257:AA311">SUM(U257:Z257)</f>
        <v>7.359999999999999</v>
      </c>
      <c r="AB257" s="203">
        <f aca="true" t="shared" si="302" ref="AB257:AB311">ROUND(AA257*$S$21,2)</f>
        <v>2.21</v>
      </c>
      <c r="AC257" s="204">
        <f aca="true" t="shared" si="303" ref="AC257:AC311">SUM(AA257:AB257)</f>
        <v>9.57</v>
      </c>
      <c r="AD257" s="205">
        <f aca="true" t="shared" si="304" ref="AD257:AD311">ROUND(AC257*$AD$19/95,2)</f>
        <v>0.5</v>
      </c>
      <c r="AE257" s="206">
        <f aca="true" t="shared" si="305" ref="AE257:AE311">SUM(AC257:AD257)</f>
        <v>10.07</v>
      </c>
      <c r="AF257" s="84"/>
      <c r="AG257" s="237" t="s">
        <v>493</v>
      </c>
      <c r="AH257" s="439" t="s">
        <v>494</v>
      </c>
      <c r="AI257" s="439"/>
      <c r="AJ257" s="78" t="s">
        <v>54</v>
      </c>
      <c r="AK257" s="78"/>
      <c r="AL257" s="207">
        <f t="shared" si="281"/>
        <v>10.07</v>
      </c>
      <c r="AM257" s="207"/>
      <c r="AN257" s="207">
        <f t="shared" si="282"/>
        <v>10.07</v>
      </c>
      <c r="AO257" s="19"/>
      <c r="AP257" s="120"/>
      <c r="AQ257" s="237" t="s">
        <v>493</v>
      </c>
      <c r="AR257" s="439" t="s">
        <v>494</v>
      </c>
      <c r="AS257" s="439"/>
      <c r="AT257" s="119">
        <v>15</v>
      </c>
      <c r="AU257" s="214">
        <f t="shared" si="272"/>
        <v>0.0606</v>
      </c>
      <c r="AV257" s="269">
        <f t="shared" si="273"/>
        <v>0.91</v>
      </c>
      <c r="AW257" s="269">
        <f t="shared" si="274"/>
        <v>0</v>
      </c>
      <c r="AX257" s="198">
        <f t="shared" si="275"/>
        <v>0.91</v>
      </c>
      <c r="AY257" s="29">
        <v>40</v>
      </c>
      <c r="AZ257" s="214">
        <f t="shared" si="276"/>
        <v>0.0482</v>
      </c>
      <c r="BA257" s="269">
        <f t="shared" si="277"/>
        <v>1.93</v>
      </c>
      <c r="BB257" s="269">
        <f t="shared" si="278"/>
        <v>0</v>
      </c>
      <c r="BC257" s="198">
        <f t="shared" si="279"/>
        <v>1.93</v>
      </c>
      <c r="BD257" s="199">
        <f t="shared" si="280"/>
        <v>2.84</v>
      </c>
      <c r="BE257" s="237" t="s">
        <v>493</v>
      </c>
      <c r="BF257" s="439" t="s">
        <v>494</v>
      </c>
      <c r="BG257" s="439"/>
      <c r="BH257" s="135"/>
      <c r="BI257" s="200">
        <f aca="true" t="shared" si="306" ref="BI257:BI311">BD257</f>
        <v>2.84</v>
      </c>
      <c r="BJ257" s="200">
        <f t="shared" si="283"/>
        <v>0.29</v>
      </c>
      <c r="BK257" s="197">
        <f aca="true" t="shared" si="307" ref="BK257:BK311">ROUND(SUM(BI257:BJ257)*$AA$19,2)</f>
        <v>1.06</v>
      </c>
      <c r="BL257" s="197">
        <f aca="true" t="shared" si="308" ref="BL257:BL311">ROUND(SUM(BI257:BJ257)*$AA$21,2)</f>
        <v>0</v>
      </c>
      <c r="BM257" s="197">
        <f aca="true" t="shared" si="309" ref="BM257:BM311">ROUND(SUM(BI257:BJ257)*$AA$20,2)</f>
        <v>0.05</v>
      </c>
      <c r="BN257" s="201">
        <f aca="true" t="shared" si="310" ref="BN257:BN311">ROUND(BI257*$S$20,2)</f>
        <v>3.12</v>
      </c>
      <c r="BO257" s="202">
        <f aca="true" t="shared" si="311" ref="BO257:BO311">SUM(BI257:BN257)</f>
        <v>7.359999999999999</v>
      </c>
      <c r="BP257" s="203">
        <f t="shared" si="284"/>
        <v>2.21</v>
      </c>
      <c r="BQ257" s="204">
        <f aca="true" t="shared" si="312" ref="BQ257:BQ311">SUM(BO257:BP257)</f>
        <v>9.57</v>
      </c>
      <c r="BR257" s="205">
        <f t="shared" si="285"/>
        <v>0.5</v>
      </c>
      <c r="BS257" s="206">
        <f aca="true" t="shared" si="313" ref="BS257:BS311">SUM(BQ257:BR257)</f>
        <v>10.07</v>
      </c>
      <c r="BT257" s="84"/>
    </row>
    <row r="258" spans="1:72" ht="60" customHeight="1">
      <c r="A258" s="84"/>
      <c r="B258" s="237" t="s">
        <v>495</v>
      </c>
      <c r="C258" s="238" t="s">
        <v>496</v>
      </c>
      <c r="D258" s="78" t="s">
        <v>53</v>
      </c>
      <c r="E258" s="190">
        <v>15</v>
      </c>
      <c r="F258" s="214">
        <f t="shared" si="286"/>
        <v>0.0606</v>
      </c>
      <c r="G258" s="197">
        <f t="shared" si="287"/>
        <v>0.91</v>
      </c>
      <c r="H258" s="197">
        <f t="shared" si="288"/>
        <v>0</v>
      </c>
      <c r="I258" s="198">
        <f t="shared" si="289"/>
        <v>0.91</v>
      </c>
      <c r="J258" s="257">
        <v>40</v>
      </c>
      <c r="K258" s="214">
        <f t="shared" si="290"/>
        <v>0.0482</v>
      </c>
      <c r="L258" s="197">
        <f t="shared" si="291"/>
        <v>1.93</v>
      </c>
      <c r="M258" s="197">
        <f t="shared" si="292"/>
        <v>0</v>
      </c>
      <c r="N258" s="198">
        <f t="shared" si="293"/>
        <v>1.93</v>
      </c>
      <c r="O258" s="199">
        <f t="shared" si="294"/>
        <v>2.84</v>
      </c>
      <c r="P258" s="237" t="s">
        <v>495</v>
      </c>
      <c r="Q258" s="439" t="s">
        <v>496</v>
      </c>
      <c r="R258" s="439"/>
      <c r="S258" s="76"/>
      <c r="T258" s="22" t="s">
        <v>54</v>
      </c>
      <c r="U258" s="200">
        <f t="shared" si="295"/>
        <v>2.84</v>
      </c>
      <c r="V258" s="200">
        <f t="shared" si="296"/>
        <v>0.29</v>
      </c>
      <c r="W258" s="197">
        <f t="shared" si="297"/>
        <v>1.06</v>
      </c>
      <c r="X258" s="197">
        <f t="shared" si="298"/>
        <v>0</v>
      </c>
      <c r="Y258" s="197">
        <f t="shared" si="299"/>
        <v>0.05</v>
      </c>
      <c r="Z258" s="201">
        <f t="shared" si="300"/>
        <v>3.12</v>
      </c>
      <c r="AA258" s="202">
        <f t="shared" si="301"/>
        <v>7.359999999999999</v>
      </c>
      <c r="AB258" s="203">
        <f t="shared" si="302"/>
        <v>2.21</v>
      </c>
      <c r="AC258" s="204">
        <f t="shared" si="303"/>
        <v>9.57</v>
      </c>
      <c r="AD258" s="205">
        <f t="shared" si="304"/>
        <v>0.5</v>
      </c>
      <c r="AE258" s="206">
        <f t="shared" si="305"/>
        <v>10.07</v>
      </c>
      <c r="AF258" s="84"/>
      <c r="AG258" s="237" t="s">
        <v>495</v>
      </c>
      <c r="AH258" s="439" t="s">
        <v>496</v>
      </c>
      <c r="AI258" s="439"/>
      <c r="AJ258" s="78" t="s">
        <v>54</v>
      </c>
      <c r="AK258" s="78"/>
      <c r="AL258" s="207">
        <f t="shared" si="281"/>
        <v>10.07</v>
      </c>
      <c r="AM258" s="207"/>
      <c r="AN258" s="207">
        <f t="shared" si="282"/>
        <v>10.07</v>
      </c>
      <c r="AO258" s="19"/>
      <c r="AP258" s="120"/>
      <c r="AQ258" s="237" t="s">
        <v>495</v>
      </c>
      <c r="AR258" s="439" t="s">
        <v>496</v>
      </c>
      <c r="AS258" s="439"/>
      <c r="AT258" s="119">
        <v>15</v>
      </c>
      <c r="AU258" s="214">
        <f t="shared" si="272"/>
        <v>0.0606</v>
      </c>
      <c r="AV258" s="269">
        <f t="shared" si="273"/>
        <v>0.91</v>
      </c>
      <c r="AW258" s="269">
        <f t="shared" si="274"/>
        <v>0</v>
      </c>
      <c r="AX258" s="198">
        <f t="shared" si="275"/>
        <v>0.91</v>
      </c>
      <c r="AY258" s="29">
        <v>40</v>
      </c>
      <c r="AZ258" s="214">
        <f t="shared" si="276"/>
        <v>0.0482</v>
      </c>
      <c r="BA258" s="269">
        <f t="shared" si="277"/>
        <v>1.93</v>
      </c>
      <c r="BB258" s="269">
        <f t="shared" si="278"/>
        <v>0</v>
      </c>
      <c r="BC258" s="198">
        <f t="shared" si="279"/>
        <v>1.93</v>
      </c>
      <c r="BD258" s="199">
        <f t="shared" si="280"/>
        <v>2.84</v>
      </c>
      <c r="BE258" s="237" t="s">
        <v>495</v>
      </c>
      <c r="BF258" s="439" t="s">
        <v>496</v>
      </c>
      <c r="BG258" s="439"/>
      <c r="BH258" s="136"/>
      <c r="BI258" s="200">
        <f t="shared" si="306"/>
        <v>2.84</v>
      </c>
      <c r="BJ258" s="200">
        <f t="shared" si="283"/>
        <v>0.29</v>
      </c>
      <c r="BK258" s="197">
        <f t="shared" si="307"/>
        <v>1.06</v>
      </c>
      <c r="BL258" s="197">
        <f t="shared" si="308"/>
        <v>0</v>
      </c>
      <c r="BM258" s="197">
        <f t="shared" si="309"/>
        <v>0.05</v>
      </c>
      <c r="BN258" s="201">
        <f t="shared" si="310"/>
        <v>3.12</v>
      </c>
      <c r="BO258" s="202">
        <f t="shared" si="311"/>
        <v>7.359999999999999</v>
      </c>
      <c r="BP258" s="203">
        <f t="shared" si="284"/>
        <v>2.21</v>
      </c>
      <c r="BQ258" s="204">
        <f t="shared" si="312"/>
        <v>9.57</v>
      </c>
      <c r="BR258" s="205">
        <f t="shared" si="285"/>
        <v>0.5</v>
      </c>
      <c r="BS258" s="206">
        <f t="shared" si="313"/>
        <v>10.07</v>
      </c>
      <c r="BT258" s="84"/>
    </row>
    <row r="259" spans="1:72" ht="53.25" customHeight="1">
      <c r="A259" s="84"/>
      <c r="B259" s="237" t="s">
        <v>497</v>
      </c>
      <c r="C259" s="238" t="s">
        <v>498</v>
      </c>
      <c r="D259" s="78" t="s">
        <v>53</v>
      </c>
      <c r="E259" s="190">
        <v>15</v>
      </c>
      <c r="F259" s="214">
        <f t="shared" si="286"/>
        <v>0.0606</v>
      </c>
      <c r="G259" s="197">
        <f t="shared" si="287"/>
        <v>0.91</v>
      </c>
      <c r="H259" s="197">
        <f t="shared" si="288"/>
        <v>0</v>
      </c>
      <c r="I259" s="198">
        <f t="shared" si="289"/>
        <v>0.91</v>
      </c>
      <c r="J259" s="257">
        <v>45</v>
      </c>
      <c r="K259" s="214">
        <f t="shared" si="290"/>
        <v>0.0482</v>
      </c>
      <c r="L259" s="197">
        <f t="shared" si="291"/>
        <v>2.17</v>
      </c>
      <c r="M259" s="197">
        <f t="shared" si="292"/>
        <v>0</v>
      </c>
      <c r="N259" s="198">
        <f t="shared" si="293"/>
        <v>2.17</v>
      </c>
      <c r="O259" s="199">
        <f t="shared" si="294"/>
        <v>3.08</v>
      </c>
      <c r="P259" s="237" t="s">
        <v>497</v>
      </c>
      <c r="Q259" s="439" t="s">
        <v>498</v>
      </c>
      <c r="R259" s="439"/>
      <c r="S259" s="76"/>
      <c r="T259" s="22" t="s">
        <v>54</v>
      </c>
      <c r="U259" s="200">
        <f t="shared" si="295"/>
        <v>3.08</v>
      </c>
      <c r="V259" s="200">
        <f t="shared" si="296"/>
        <v>0.32</v>
      </c>
      <c r="W259" s="197">
        <f t="shared" si="297"/>
        <v>1.16</v>
      </c>
      <c r="X259" s="197">
        <f t="shared" si="298"/>
        <v>0</v>
      </c>
      <c r="Y259" s="197">
        <f t="shared" si="299"/>
        <v>0.05</v>
      </c>
      <c r="Z259" s="201">
        <f t="shared" si="300"/>
        <v>3.38</v>
      </c>
      <c r="AA259" s="202">
        <f t="shared" si="301"/>
        <v>7.989999999999999</v>
      </c>
      <c r="AB259" s="203">
        <f t="shared" si="302"/>
        <v>2.4</v>
      </c>
      <c r="AC259" s="204">
        <f t="shared" si="303"/>
        <v>10.389999999999999</v>
      </c>
      <c r="AD259" s="205">
        <f t="shared" si="304"/>
        <v>0.55</v>
      </c>
      <c r="AE259" s="206">
        <f t="shared" si="305"/>
        <v>10.94</v>
      </c>
      <c r="AF259" s="84"/>
      <c r="AG259" s="237" t="s">
        <v>497</v>
      </c>
      <c r="AH259" s="439" t="s">
        <v>498</v>
      </c>
      <c r="AI259" s="439"/>
      <c r="AJ259" s="78" t="s">
        <v>54</v>
      </c>
      <c r="AK259" s="78"/>
      <c r="AL259" s="207">
        <f t="shared" si="281"/>
        <v>10.94</v>
      </c>
      <c r="AM259" s="207"/>
      <c r="AN259" s="207">
        <f t="shared" si="282"/>
        <v>10.94</v>
      </c>
      <c r="AO259" s="19"/>
      <c r="AP259" s="120"/>
      <c r="AQ259" s="237" t="s">
        <v>497</v>
      </c>
      <c r="AR259" s="439" t="s">
        <v>498</v>
      </c>
      <c r="AS259" s="439"/>
      <c r="AT259" s="119">
        <v>15</v>
      </c>
      <c r="AU259" s="214">
        <f t="shared" si="272"/>
        <v>0.0606</v>
      </c>
      <c r="AV259" s="269">
        <f t="shared" si="273"/>
        <v>0.91</v>
      </c>
      <c r="AW259" s="269">
        <f t="shared" si="274"/>
        <v>0</v>
      </c>
      <c r="AX259" s="198">
        <f t="shared" si="275"/>
        <v>0.91</v>
      </c>
      <c r="AY259" s="29">
        <v>45</v>
      </c>
      <c r="AZ259" s="214">
        <f t="shared" si="276"/>
        <v>0.0482</v>
      </c>
      <c r="BA259" s="269">
        <f t="shared" si="277"/>
        <v>2.17</v>
      </c>
      <c r="BB259" s="269">
        <f t="shared" si="278"/>
        <v>0</v>
      </c>
      <c r="BC259" s="198">
        <f t="shared" si="279"/>
        <v>2.17</v>
      </c>
      <c r="BD259" s="199">
        <f t="shared" si="280"/>
        <v>3.08</v>
      </c>
      <c r="BE259" s="237" t="s">
        <v>497</v>
      </c>
      <c r="BF259" s="439" t="s">
        <v>498</v>
      </c>
      <c r="BG259" s="439"/>
      <c r="BH259" s="136"/>
      <c r="BI259" s="200">
        <f t="shared" si="306"/>
        <v>3.08</v>
      </c>
      <c r="BJ259" s="200">
        <f t="shared" si="283"/>
        <v>0.32</v>
      </c>
      <c r="BK259" s="197">
        <f t="shared" si="307"/>
        <v>1.16</v>
      </c>
      <c r="BL259" s="197">
        <f t="shared" si="308"/>
        <v>0</v>
      </c>
      <c r="BM259" s="197">
        <f t="shared" si="309"/>
        <v>0.05</v>
      </c>
      <c r="BN259" s="201">
        <f t="shared" si="310"/>
        <v>3.38</v>
      </c>
      <c r="BO259" s="202">
        <f t="shared" si="311"/>
        <v>7.989999999999999</v>
      </c>
      <c r="BP259" s="203">
        <f t="shared" si="284"/>
        <v>2.4</v>
      </c>
      <c r="BQ259" s="204">
        <f t="shared" si="312"/>
        <v>10.389999999999999</v>
      </c>
      <c r="BR259" s="205">
        <f t="shared" si="285"/>
        <v>0.55</v>
      </c>
      <c r="BS259" s="206">
        <f t="shared" si="313"/>
        <v>10.94</v>
      </c>
      <c r="BT259" s="84"/>
    </row>
    <row r="260" spans="1:72" ht="67.5" customHeight="1">
      <c r="A260" s="84"/>
      <c r="B260" s="237" t="s">
        <v>499</v>
      </c>
      <c r="C260" s="238" t="s">
        <v>500</v>
      </c>
      <c r="D260" s="78" t="s">
        <v>53</v>
      </c>
      <c r="E260" s="190">
        <v>15</v>
      </c>
      <c r="F260" s="214">
        <f t="shared" si="286"/>
        <v>0.0606</v>
      </c>
      <c r="G260" s="197">
        <f t="shared" si="287"/>
        <v>0.91</v>
      </c>
      <c r="H260" s="197">
        <f t="shared" si="288"/>
        <v>0</v>
      </c>
      <c r="I260" s="198">
        <f t="shared" si="289"/>
        <v>0.91</v>
      </c>
      <c r="J260" s="257">
        <v>40</v>
      </c>
      <c r="K260" s="214">
        <f t="shared" si="290"/>
        <v>0.0482</v>
      </c>
      <c r="L260" s="197">
        <f t="shared" si="291"/>
        <v>1.93</v>
      </c>
      <c r="M260" s="197">
        <f t="shared" si="292"/>
        <v>0</v>
      </c>
      <c r="N260" s="198">
        <f t="shared" si="293"/>
        <v>1.93</v>
      </c>
      <c r="O260" s="199">
        <f t="shared" si="294"/>
        <v>2.84</v>
      </c>
      <c r="P260" s="237" t="s">
        <v>499</v>
      </c>
      <c r="Q260" s="439" t="s">
        <v>500</v>
      </c>
      <c r="R260" s="439"/>
      <c r="S260" s="76"/>
      <c r="T260" s="22" t="s">
        <v>54</v>
      </c>
      <c r="U260" s="200">
        <f t="shared" si="295"/>
        <v>2.84</v>
      </c>
      <c r="V260" s="200">
        <f t="shared" si="296"/>
        <v>0.29</v>
      </c>
      <c r="W260" s="197">
        <f t="shared" si="297"/>
        <v>1.06</v>
      </c>
      <c r="X260" s="197">
        <f t="shared" si="298"/>
        <v>0</v>
      </c>
      <c r="Y260" s="197">
        <f t="shared" si="299"/>
        <v>0.05</v>
      </c>
      <c r="Z260" s="201">
        <f t="shared" si="300"/>
        <v>3.12</v>
      </c>
      <c r="AA260" s="202">
        <f t="shared" si="301"/>
        <v>7.359999999999999</v>
      </c>
      <c r="AB260" s="203">
        <f t="shared" si="302"/>
        <v>2.21</v>
      </c>
      <c r="AC260" s="204">
        <f t="shared" si="303"/>
        <v>9.57</v>
      </c>
      <c r="AD260" s="205">
        <f t="shared" si="304"/>
        <v>0.5</v>
      </c>
      <c r="AE260" s="206">
        <f t="shared" si="305"/>
        <v>10.07</v>
      </c>
      <c r="AF260" s="84"/>
      <c r="AG260" s="237" t="s">
        <v>499</v>
      </c>
      <c r="AH260" s="439" t="s">
        <v>500</v>
      </c>
      <c r="AI260" s="439"/>
      <c r="AJ260" s="78" t="s">
        <v>54</v>
      </c>
      <c r="AK260" s="78"/>
      <c r="AL260" s="207">
        <f t="shared" si="281"/>
        <v>10.07</v>
      </c>
      <c r="AM260" s="207"/>
      <c r="AN260" s="207">
        <f t="shared" si="282"/>
        <v>10.07</v>
      </c>
      <c r="AO260" s="19"/>
      <c r="AP260" s="120"/>
      <c r="AQ260" s="237" t="s">
        <v>499</v>
      </c>
      <c r="AR260" s="439" t="s">
        <v>500</v>
      </c>
      <c r="AS260" s="439"/>
      <c r="AT260" s="119">
        <v>15</v>
      </c>
      <c r="AU260" s="214">
        <f t="shared" si="272"/>
        <v>0.0606</v>
      </c>
      <c r="AV260" s="269">
        <f t="shared" si="273"/>
        <v>0.91</v>
      </c>
      <c r="AW260" s="269">
        <f t="shared" si="274"/>
        <v>0</v>
      </c>
      <c r="AX260" s="198">
        <f t="shared" si="275"/>
        <v>0.91</v>
      </c>
      <c r="AY260" s="29">
        <v>40</v>
      </c>
      <c r="AZ260" s="214">
        <f t="shared" si="276"/>
        <v>0.0482</v>
      </c>
      <c r="BA260" s="269">
        <f t="shared" si="277"/>
        <v>1.93</v>
      </c>
      <c r="BB260" s="269">
        <f t="shared" si="278"/>
        <v>0</v>
      </c>
      <c r="BC260" s="198">
        <f t="shared" si="279"/>
        <v>1.93</v>
      </c>
      <c r="BD260" s="199">
        <f t="shared" si="280"/>
        <v>2.84</v>
      </c>
      <c r="BE260" s="237" t="s">
        <v>499</v>
      </c>
      <c r="BF260" s="439" t="s">
        <v>500</v>
      </c>
      <c r="BG260" s="439"/>
      <c r="BH260" s="136"/>
      <c r="BI260" s="200">
        <f t="shared" si="306"/>
        <v>2.84</v>
      </c>
      <c r="BJ260" s="200">
        <f t="shared" si="283"/>
        <v>0.29</v>
      </c>
      <c r="BK260" s="197">
        <f t="shared" si="307"/>
        <v>1.06</v>
      </c>
      <c r="BL260" s="197">
        <f t="shared" si="308"/>
        <v>0</v>
      </c>
      <c r="BM260" s="197">
        <f t="shared" si="309"/>
        <v>0.05</v>
      </c>
      <c r="BN260" s="201">
        <f t="shared" si="310"/>
        <v>3.12</v>
      </c>
      <c r="BO260" s="202">
        <f t="shared" si="311"/>
        <v>7.359999999999999</v>
      </c>
      <c r="BP260" s="203">
        <f t="shared" si="284"/>
        <v>2.21</v>
      </c>
      <c r="BQ260" s="204">
        <f t="shared" si="312"/>
        <v>9.57</v>
      </c>
      <c r="BR260" s="205">
        <f t="shared" si="285"/>
        <v>0.5</v>
      </c>
      <c r="BS260" s="206">
        <f t="shared" si="313"/>
        <v>10.07</v>
      </c>
      <c r="BT260" s="84"/>
    </row>
    <row r="261" spans="1:72" ht="32.25" customHeight="1">
      <c r="A261" s="217"/>
      <c r="B261" s="237" t="s">
        <v>501</v>
      </c>
      <c r="C261" s="238" t="s">
        <v>502</v>
      </c>
      <c r="D261" s="78" t="s">
        <v>53</v>
      </c>
      <c r="E261" s="190">
        <v>15</v>
      </c>
      <c r="F261" s="214">
        <f t="shared" si="286"/>
        <v>0.0606</v>
      </c>
      <c r="G261" s="197">
        <f t="shared" si="287"/>
        <v>0.91</v>
      </c>
      <c r="H261" s="197">
        <f t="shared" si="288"/>
        <v>0</v>
      </c>
      <c r="I261" s="198">
        <f t="shared" si="289"/>
        <v>0.91</v>
      </c>
      <c r="J261" s="257">
        <v>25</v>
      </c>
      <c r="K261" s="214">
        <f t="shared" si="290"/>
        <v>0.0482</v>
      </c>
      <c r="L261" s="197">
        <f t="shared" si="291"/>
        <v>1.21</v>
      </c>
      <c r="M261" s="197">
        <f t="shared" si="292"/>
        <v>0</v>
      </c>
      <c r="N261" s="198">
        <f t="shared" si="293"/>
        <v>1.21</v>
      </c>
      <c r="O261" s="199">
        <f t="shared" si="294"/>
        <v>2.12</v>
      </c>
      <c r="P261" s="237" t="s">
        <v>501</v>
      </c>
      <c r="Q261" s="439" t="s">
        <v>502</v>
      </c>
      <c r="R261" s="439"/>
      <c r="S261" s="79"/>
      <c r="T261" s="22" t="s">
        <v>54</v>
      </c>
      <c r="U261" s="200">
        <f t="shared" si="295"/>
        <v>2.12</v>
      </c>
      <c r="V261" s="200">
        <f t="shared" si="296"/>
        <v>0.22</v>
      </c>
      <c r="W261" s="197">
        <f t="shared" si="297"/>
        <v>0.8</v>
      </c>
      <c r="X261" s="197">
        <f t="shared" si="298"/>
        <v>0</v>
      </c>
      <c r="Y261" s="197">
        <f t="shared" si="299"/>
        <v>0.04</v>
      </c>
      <c r="Z261" s="201">
        <f t="shared" si="300"/>
        <v>2.33</v>
      </c>
      <c r="AA261" s="202">
        <f t="shared" si="301"/>
        <v>5.510000000000001</v>
      </c>
      <c r="AB261" s="203">
        <f t="shared" si="302"/>
        <v>1.65</v>
      </c>
      <c r="AC261" s="204">
        <f t="shared" si="303"/>
        <v>7.16</v>
      </c>
      <c r="AD261" s="205">
        <f t="shared" si="304"/>
        <v>0.38</v>
      </c>
      <c r="AE261" s="206">
        <f t="shared" si="305"/>
        <v>7.54</v>
      </c>
      <c r="AF261" s="217"/>
      <c r="AG261" s="237" t="s">
        <v>501</v>
      </c>
      <c r="AH261" s="439" t="s">
        <v>502</v>
      </c>
      <c r="AI261" s="439"/>
      <c r="AJ261" s="78" t="s">
        <v>54</v>
      </c>
      <c r="AK261" s="79"/>
      <c r="AL261" s="207">
        <f t="shared" si="281"/>
        <v>7.54</v>
      </c>
      <c r="AM261" s="207"/>
      <c r="AN261" s="207">
        <f t="shared" si="282"/>
        <v>7.54</v>
      </c>
      <c r="AO261" s="19"/>
      <c r="AP261" s="120"/>
      <c r="AQ261" s="237" t="s">
        <v>501</v>
      </c>
      <c r="AR261" s="439" t="s">
        <v>502</v>
      </c>
      <c r="AS261" s="439"/>
      <c r="AT261" s="119">
        <v>15</v>
      </c>
      <c r="AU261" s="214">
        <f t="shared" si="272"/>
        <v>0.0606</v>
      </c>
      <c r="AV261" s="269">
        <f t="shared" si="273"/>
        <v>0.91</v>
      </c>
      <c r="AW261" s="269">
        <f t="shared" si="274"/>
        <v>0</v>
      </c>
      <c r="AX261" s="198">
        <f t="shared" si="275"/>
        <v>0.91</v>
      </c>
      <c r="AY261" s="29">
        <v>25</v>
      </c>
      <c r="AZ261" s="214">
        <f t="shared" si="276"/>
        <v>0.0482</v>
      </c>
      <c r="BA261" s="269">
        <f t="shared" si="277"/>
        <v>1.21</v>
      </c>
      <c r="BB261" s="269">
        <f t="shared" si="278"/>
        <v>0</v>
      </c>
      <c r="BC261" s="198">
        <f t="shared" si="279"/>
        <v>1.21</v>
      </c>
      <c r="BD261" s="199">
        <f t="shared" si="280"/>
        <v>2.12</v>
      </c>
      <c r="BE261" s="237" t="s">
        <v>501</v>
      </c>
      <c r="BF261" s="439" t="s">
        <v>502</v>
      </c>
      <c r="BG261" s="439"/>
      <c r="BH261" s="136"/>
      <c r="BI261" s="200">
        <f t="shared" si="306"/>
        <v>2.12</v>
      </c>
      <c r="BJ261" s="200">
        <f t="shared" si="283"/>
        <v>0.22</v>
      </c>
      <c r="BK261" s="197">
        <f t="shared" si="307"/>
        <v>0.8</v>
      </c>
      <c r="BL261" s="197">
        <f t="shared" si="308"/>
        <v>0</v>
      </c>
      <c r="BM261" s="197">
        <f t="shared" si="309"/>
        <v>0.04</v>
      </c>
      <c r="BN261" s="201">
        <f t="shared" si="310"/>
        <v>2.33</v>
      </c>
      <c r="BO261" s="202">
        <f t="shared" si="311"/>
        <v>5.510000000000001</v>
      </c>
      <c r="BP261" s="203">
        <f t="shared" si="284"/>
        <v>1.65</v>
      </c>
      <c r="BQ261" s="204">
        <f t="shared" si="312"/>
        <v>7.16</v>
      </c>
      <c r="BR261" s="205">
        <f t="shared" si="285"/>
        <v>0.38</v>
      </c>
      <c r="BS261" s="206">
        <f t="shared" si="313"/>
        <v>7.54</v>
      </c>
      <c r="BT261" s="84"/>
    </row>
    <row r="262" spans="1:115" ht="34.5" customHeight="1">
      <c r="A262" s="84"/>
      <c r="B262" s="237" t="s">
        <v>503</v>
      </c>
      <c r="C262" s="238" t="s">
        <v>504</v>
      </c>
      <c r="D262" s="78" t="s">
        <v>53</v>
      </c>
      <c r="E262" s="190">
        <v>20</v>
      </c>
      <c r="F262" s="214">
        <f t="shared" si="286"/>
        <v>0.0606</v>
      </c>
      <c r="G262" s="197">
        <f t="shared" si="287"/>
        <v>1.21</v>
      </c>
      <c r="H262" s="197">
        <f t="shared" si="288"/>
        <v>0</v>
      </c>
      <c r="I262" s="198">
        <f t="shared" si="289"/>
        <v>1.21</v>
      </c>
      <c r="J262" s="257">
        <v>40</v>
      </c>
      <c r="K262" s="214">
        <f t="shared" si="290"/>
        <v>0.0482</v>
      </c>
      <c r="L262" s="197">
        <f t="shared" si="291"/>
        <v>1.93</v>
      </c>
      <c r="M262" s="197">
        <f t="shared" si="292"/>
        <v>0</v>
      </c>
      <c r="N262" s="198">
        <f t="shared" si="293"/>
        <v>1.93</v>
      </c>
      <c r="O262" s="199">
        <f t="shared" si="294"/>
        <v>3.1399999999999997</v>
      </c>
      <c r="P262" s="237" t="s">
        <v>503</v>
      </c>
      <c r="Q262" s="439" t="s">
        <v>504</v>
      </c>
      <c r="R262" s="439"/>
      <c r="S262" s="79"/>
      <c r="T262" s="22" t="s">
        <v>54</v>
      </c>
      <c r="U262" s="200">
        <f t="shared" si="295"/>
        <v>3.1399999999999997</v>
      </c>
      <c r="V262" s="200">
        <f t="shared" si="296"/>
        <v>0.32</v>
      </c>
      <c r="W262" s="197">
        <f t="shared" si="297"/>
        <v>1.18</v>
      </c>
      <c r="X262" s="197">
        <f t="shared" si="298"/>
        <v>0</v>
      </c>
      <c r="Y262" s="197">
        <f t="shared" si="299"/>
        <v>0.05</v>
      </c>
      <c r="Z262" s="201">
        <f t="shared" si="300"/>
        <v>3.45</v>
      </c>
      <c r="AA262" s="202">
        <f t="shared" si="301"/>
        <v>8.14</v>
      </c>
      <c r="AB262" s="203">
        <f t="shared" si="302"/>
        <v>2.44</v>
      </c>
      <c r="AC262" s="204">
        <f t="shared" si="303"/>
        <v>10.58</v>
      </c>
      <c r="AD262" s="205">
        <f t="shared" si="304"/>
        <v>0.56</v>
      </c>
      <c r="AE262" s="206">
        <f t="shared" si="305"/>
        <v>11.14</v>
      </c>
      <c r="AF262" s="84"/>
      <c r="AG262" s="237" t="s">
        <v>503</v>
      </c>
      <c r="AH262" s="439" t="s">
        <v>504</v>
      </c>
      <c r="AI262" s="439"/>
      <c r="AJ262" s="78" t="s">
        <v>54</v>
      </c>
      <c r="AK262" s="79"/>
      <c r="AL262" s="207">
        <f t="shared" si="281"/>
        <v>11.14</v>
      </c>
      <c r="AM262" s="207"/>
      <c r="AN262" s="207">
        <f t="shared" si="282"/>
        <v>11.14</v>
      </c>
      <c r="AO262" s="79"/>
      <c r="AP262" s="120"/>
      <c r="AQ262" s="237" t="s">
        <v>503</v>
      </c>
      <c r="AR262" s="439" t="s">
        <v>504</v>
      </c>
      <c r="AS262" s="439"/>
      <c r="AT262" s="119">
        <v>20</v>
      </c>
      <c r="AU262" s="214">
        <f t="shared" si="272"/>
        <v>0.0606</v>
      </c>
      <c r="AV262" s="269">
        <f t="shared" si="273"/>
        <v>1.21</v>
      </c>
      <c r="AW262" s="269">
        <f t="shared" si="274"/>
        <v>0</v>
      </c>
      <c r="AX262" s="198">
        <f t="shared" si="275"/>
        <v>1.21</v>
      </c>
      <c r="AY262" s="29">
        <v>40</v>
      </c>
      <c r="AZ262" s="214">
        <f t="shared" si="276"/>
        <v>0.0482</v>
      </c>
      <c r="BA262" s="269">
        <f t="shared" si="277"/>
        <v>1.93</v>
      </c>
      <c r="BB262" s="269">
        <f t="shared" si="278"/>
        <v>0</v>
      </c>
      <c r="BC262" s="198">
        <f t="shared" si="279"/>
        <v>1.93</v>
      </c>
      <c r="BD262" s="199">
        <f t="shared" si="280"/>
        <v>3.1399999999999997</v>
      </c>
      <c r="BE262" s="237" t="s">
        <v>503</v>
      </c>
      <c r="BF262" s="439" t="s">
        <v>504</v>
      </c>
      <c r="BG262" s="439"/>
      <c r="BH262" s="136"/>
      <c r="BI262" s="200">
        <f t="shared" si="306"/>
        <v>3.1399999999999997</v>
      </c>
      <c r="BJ262" s="200">
        <f t="shared" si="283"/>
        <v>0.32</v>
      </c>
      <c r="BK262" s="197">
        <f t="shared" si="307"/>
        <v>1.18</v>
      </c>
      <c r="BL262" s="197">
        <f t="shared" si="308"/>
        <v>0</v>
      </c>
      <c r="BM262" s="197">
        <f t="shared" si="309"/>
        <v>0.05</v>
      </c>
      <c r="BN262" s="201">
        <f t="shared" si="310"/>
        <v>3.45</v>
      </c>
      <c r="BO262" s="202">
        <f t="shared" si="311"/>
        <v>8.14</v>
      </c>
      <c r="BP262" s="203">
        <f t="shared" si="284"/>
        <v>2.44</v>
      </c>
      <c r="BQ262" s="204">
        <f t="shared" si="312"/>
        <v>10.58</v>
      </c>
      <c r="BR262" s="205">
        <f t="shared" si="285"/>
        <v>0.56</v>
      </c>
      <c r="BS262" s="206">
        <f t="shared" si="313"/>
        <v>11.14</v>
      </c>
      <c r="BT262" s="84"/>
      <c r="BU262" s="29"/>
      <c r="BV262" s="79"/>
      <c r="BW262" s="79"/>
      <c r="BX262" s="98"/>
      <c r="BY262" s="78"/>
      <c r="BZ262" s="29"/>
      <c r="CA262" s="79"/>
      <c r="CB262" s="79"/>
      <c r="CC262" s="99"/>
      <c r="CN262" s="81"/>
      <c r="CS262" s="100"/>
      <c r="CT262" s="101"/>
      <c r="CU262" s="83"/>
      <c r="CW262" s="22"/>
      <c r="CY262" s="79"/>
      <c r="CZ262" s="79"/>
      <c r="DA262" s="79"/>
      <c r="DB262" s="79"/>
      <c r="DE262" s="82"/>
      <c r="DF262" s="79"/>
      <c r="DG262" s="79"/>
      <c r="DH262" s="79"/>
      <c r="DI262" s="81"/>
      <c r="DJ262" s="79"/>
      <c r="DK262" s="81"/>
    </row>
    <row r="263" spans="1:72" ht="32.25" customHeight="1">
      <c r="A263" s="24"/>
      <c r="B263" s="237" t="s">
        <v>505</v>
      </c>
      <c r="C263" s="238" t="s">
        <v>506</v>
      </c>
      <c r="D263" s="78" t="s">
        <v>53</v>
      </c>
      <c r="E263" s="190">
        <v>5</v>
      </c>
      <c r="F263" s="214">
        <f>$G$16</f>
        <v>0.0606</v>
      </c>
      <c r="G263" s="197">
        <f t="shared" si="287"/>
        <v>0.3</v>
      </c>
      <c r="H263" s="197">
        <f t="shared" si="288"/>
        <v>0</v>
      </c>
      <c r="I263" s="198">
        <f t="shared" si="289"/>
        <v>0.3</v>
      </c>
      <c r="J263" s="257">
        <v>10</v>
      </c>
      <c r="K263" s="214">
        <f>$G$19</f>
        <v>0.0482</v>
      </c>
      <c r="L263" s="197">
        <f t="shared" si="291"/>
        <v>0.48</v>
      </c>
      <c r="M263" s="197">
        <f t="shared" si="292"/>
        <v>0</v>
      </c>
      <c r="N263" s="198">
        <f t="shared" si="293"/>
        <v>0.48</v>
      </c>
      <c r="O263" s="199">
        <f t="shared" si="294"/>
        <v>0.78</v>
      </c>
      <c r="P263" s="237" t="s">
        <v>505</v>
      </c>
      <c r="Q263" s="439" t="s">
        <v>506</v>
      </c>
      <c r="R263" s="439"/>
      <c r="S263" s="76"/>
      <c r="T263" s="22" t="s">
        <v>54</v>
      </c>
      <c r="U263" s="200">
        <f t="shared" si="295"/>
        <v>0.78</v>
      </c>
      <c r="V263" s="200">
        <f t="shared" si="296"/>
        <v>0.08</v>
      </c>
      <c r="W263" s="197">
        <f t="shared" si="297"/>
        <v>0.29</v>
      </c>
      <c r="X263" s="197">
        <f t="shared" si="298"/>
        <v>0</v>
      </c>
      <c r="Y263" s="197">
        <f t="shared" si="299"/>
        <v>0.01</v>
      </c>
      <c r="Z263" s="201">
        <f t="shared" si="300"/>
        <v>0.86</v>
      </c>
      <c r="AA263" s="202">
        <f t="shared" si="301"/>
        <v>2.02</v>
      </c>
      <c r="AB263" s="203">
        <f t="shared" si="302"/>
        <v>0.61</v>
      </c>
      <c r="AC263" s="204">
        <f t="shared" si="303"/>
        <v>2.63</v>
      </c>
      <c r="AD263" s="205">
        <f t="shared" si="304"/>
        <v>0.14</v>
      </c>
      <c r="AE263" s="206">
        <f t="shared" si="305"/>
        <v>2.77</v>
      </c>
      <c r="AF263" s="24"/>
      <c r="AG263" s="237" t="s">
        <v>505</v>
      </c>
      <c r="AH263" s="439" t="s">
        <v>506</v>
      </c>
      <c r="AI263" s="439"/>
      <c r="AJ263" s="78"/>
      <c r="AK263" s="78"/>
      <c r="AL263" s="207">
        <f t="shared" si="281"/>
        <v>2.77</v>
      </c>
      <c r="AM263" s="207"/>
      <c r="AN263" s="207">
        <f t="shared" si="282"/>
        <v>2.77</v>
      </c>
      <c r="AO263" s="19"/>
      <c r="AP263" s="118"/>
      <c r="AQ263" s="237" t="s">
        <v>505</v>
      </c>
      <c r="AR263" s="439" t="s">
        <v>506</v>
      </c>
      <c r="AS263" s="439"/>
      <c r="AT263" s="119">
        <v>5</v>
      </c>
      <c r="AU263" s="214">
        <f t="shared" si="272"/>
        <v>0.0606</v>
      </c>
      <c r="AV263" s="269">
        <f t="shared" si="273"/>
        <v>0.3</v>
      </c>
      <c r="AW263" s="269">
        <f t="shared" si="274"/>
        <v>0</v>
      </c>
      <c r="AX263" s="198">
        <f t="shared" si="275"/>
        <v>0.3</v>
      </c>
      <c r="AY263" s="29">
        <v>10</v>
      </c>
      <c r="AZ263" s="214">
        <f t="shared" si="276"/>
        <v>0.0482</v>
      </c>
      <c r="BA263" s="269">
        <f t="shared" si="277"/>
        <v>0.48</v>
      </c>
      <c r="BB263" s="269">
        <f t="shared" si="278"/>
        <v>0</v>
      </c>
      <c r="BC263" s="198">
        <f t="shared" si="279"/>
        <v>0.48</v>
      </c>
      <c r="BD263" s="199">
        <f t="shared" si="280"/>
        <v>0.78</v>
      </c>
      <c r="BE263" s="237" t="s">
        <v>505</v>
      </c>
      <c r="BF263" s="439" t="s">
        <v>506</v>
      </c>
      <c r="BG263" s="439"/>
      <c r="BH263" s="136"/>
      <c r="BI263" s="200">
        <f t="shared" si="306"/>
        <v>0.78</v>
      </c>
      <c r="BJ263" s="200">
        <f t="shared" si="283"/>
        <v>0.08</v>
      </c>
      <c r="BK263" s="197">
        <f t="shared" si="307"/>
        <v>0.29</v>
      </c>
      <c r="BL263" s="197">
        <f t="shared" si="308"/>
        <v>0</v>
      </c>
      <c r="BM263" s="197">
        <f t="shared" si="309"/>
        <v>0.01</v>
      </c>
      <c r="BN263" s="201">
        <f t="shared" si="310"/>
        <v>0.86</v>
      </c>
      <c r="BO263" s="202">
        <f t="shared" si="311"/>
        <v>2.02</v>
      </c>
      <c r="BP263" s="203">
        <f t="shared" si="284"/>
        <v>0.61</v>
      </c>
      <c r="BQ263" s="204">
        <f t="shared" si="312"/>
        <v>2.63</v>
      </c>
      <c r="BR263" s="205">
        <f t="shared" si="285"/>
        <v>0.14</v>
      </c>
      <c r="BS263" s="206">
        <f t="shared" si="313"/>
        <v>2.77</v>
      </c>
      <c r="BT263" s="24"/>
    </row>
    <row r="264" spans="1:72" ht="19.5" customHeight="1">
      <c r="A264" s="24"/>
      <c r="B264" s="233" t="s">
        <v>507</v>
      </c>
      <c r="C264" s="234" t="s">
        <v>508</v>
      </c>
      <c r="D264" s="251"/>
      <c r="E264" s="255"/>
      <c r="F264" s="256"/>
      <c r="G264" s="253"/>
      <c r="H264" s="253"/>
      <c r="I264" s="254"/>
      <c r="J264" s="255"/>
      <c r="K264" s="255"/>
      <c r="L264" s="253"/>
      <c r="M264" s="253"/>
      <c r="N264" s="254"/>
      <c r="O264" s="220"/>
      <c r="P264" s="233" t="s">
        <v>507</v>
      </c>
      <c r="Q264" s="442" t="s">
        <v>508</v>
      </c>
      <c r="R264" s="442"/>
      <c r="S264" s="76"/>
      <c r="T264" s="219"/>
      <c r="U264" s="253"/>
      <c r="V264" s="253"/>
      <c r="W264" s="253"/>
      <c r="X264" s="253"/>
      <c r="Y264" s="253"/>
      <c r="Z264" s="253"/>
      <c r="AA264" s="253"/>
      <c r="AB264" s="253"/>
      <c r="AC264" s="253"/>
      <c r="AD264" s="253"/>
      <c r="AE264" s="220"/>
      <c r="AF264" s="24"/>
      <c r="AG264" s="233" t="s">
        <v>507</v>
      </c>
      <c r="AH264" s="442" t="s">
        <v>508</v>
      </c>
      <c r="AI264" s="442"/>
      <c r="AJ264" s="78"/>
      <c r="AK264" s="78"/>
      <c r="AL264" s="207"/>
      <c r="AM264" s="207"/>
      <c r="AN264" s="207"/>
      <c r="AO264" s="19"/>
      <c r="AP264" s="118"/>
      <c r="AQ264" s="233" t="s">
        <v>507</v>
      </c>
      <c r="AR264" s="442" t="s">
        <v>508</v>
      </c>
      <c r="AS264" s="442"/>
      <c r="AT264" s="119"/>
      <c r="AU264" s="256"/>
      <c r="AV264" s="254"/>
      <c r="AW264" s="254"/>
      <c r="AX264" s="254"/>
      <c r="AY264" s="252"/>
      <c r="AZ264" s="256"/>
      <c r="BA264" s="254"/>
      <c r="BB264" s="254"/>
      <c r="BC264" s="254"/>
      <c r="BD264" s="220"/>
      <c r="BE264" s="233" t="s">
        <v>507</v>
      </c>
      <c r="BF264" s="442" t="s">
        <v>508</v>
      </c>
      <c r="BG264" s="442"/>
      <c r="BH264" s="136"/>
      <c r="BI264" s="253"/>
      <c r="BJ264" s="253"/>
      <c r="BK264" s="253"/>
      <c r="BL264" s="253"/>
      <c r="BM264" s="253"/>
      <c r="BN264" s="253"/>
      <c r="BO264" s="253"/>
      <c r="BP264" s="253"/>
      <c r="BQ264" s="253"/>
      <c r="BR264" s="253"/>
      <c r="BS264" s="220"/>
      <c r="BT264" s="24"/>
    </row>
    <row r="265" spans="1:72" ht="38.25" customHeight="1">
      <c r="A265" s="24"/>
      <c r="B265" s="233" t="s">
        <v>509</v>
      </c>
      <c r="C265" s="234" t="s">
        <v>510</v>
      </c>
      <c r="D265" s="251"/>
      <c r="E265" s="255"/>
      <c r="F265" s="256"/>
      <c r="G265" s="253"/>
      <c r="H265" s="253"/>
      <c r="I265" s="254"/>
      <c r="J265" s="255"/>
      <c r="K265" s="255"/>
      <c r="L265" s="253"/>
      <c r="M265" s="253"/>
      <c r="N265" s="254"/>
      <c r="O265" s="220"/>
      <c r="P265" s="233" t="s">
        <v>509</v>
      </c>
      <c r="Q265" s="442" t="s">
        <v>510</v>
      </c>
      <c r="R265" s="442"/>
      <c r="S265" s="76"/>
      <c r="T265" s="219"/>
      <c r="U265" s="253"/>
      <c r="V265" s="253"/>
      <c r="W265" s="253"/>
      <c r="X265" s="253"/>
      <c r="Y265" s="253"/>
      <c r="Z265" s="253"/>
      <c r="AA265" s="253"/>
      <c r="AB265" s="253"/>
      <c r="AC265" s="253"/>
      <c r="AD265" s="253"/>
      <c r="AE265" s="220"/>
      <c r="AF265" s="24"/>
      <c r="AG265" s="233" t="s">
        <v>509</v>
      </c>
      <c r="AH265" s="442" t="s">
        <v>510</v>
      </c>
      <c r="AI265" s="442"/>
      <c r="AJ265" s="78"/>
      <c r="AK265" s="78"/>
      <c r="AL265" s="207"/>
      <c r="AM265" s="207"/>
      <c r="AN265" s="207"/>
      <c r="AO265" s="19"/>
      <c r="AP265" s="118"/>
      <c r="AQ265" s="233" t="s">
        <v>509</v>
      </c>
      <c r="AR265" s="442" t="s">
        <v>510</v>
      </c>
      <c r="AS265" s="442"/>
      <c r="AT265" s="119"/>
      <c r="AU265" s="256"/>
      <c r="AV265" s="254"/>
      <c r="AW265" s="254"/>
      <c r="AX265" s="254"/>
      <c r="AY265" s="252"/>
      <c r="AZ265" s="256"/>
      <c r="BA265" s="254"/>
      <c r="BB265" s="254"/>
      <c r="BC265" s="254"/>
      <c r="BD265" s="220"/>
      <c r="BE265" s="233" t="s">
        <v>509</v>
      </c>
      <c r="BF265" s="442" t="s">
        <v>510</v>
      </c>
      <c r="BG265" s="442"/>
      <c r="BH265" s="136"/>
      <c r="BI265" s="253"/>
      <c r="BJ265" s="253"/>
      <c r="BK265" s="253"/>
      <c r="BL265" s="253"/>
      <c r="BM265" s="253"/>
      <c r="BN265" s="253"/>
      <c r="BO265" s="253"/>
      <c r="BP265" s="253"/>
      <c r="BQ265" s="253"/>
      <c r="BR265" s="253"/>
      <c r="BS265" s="220"/>
      <c r="BT265" s="24"/>
    </row>
    <row r="266" spans="1:72" ht="48" customHeight="1">
      <c r="A266" s="24"/>
      <c r="B266" s="237" t="s">
        <v>511</v>
      </c>
      <c r="C266" s="238" t="s">
        <v>694</v>
      </c>
      <c r="D266" s="78" t="s">
        <v>53</v>
      </c>
      <c r="E266" s="190">
        <v>10</v>
      </c>
      <c r="F266" s="214">
        <f>$G$16</f>
        <v>0.0606</v>
      </c>
      <c r="G266" s="197">
        <f>ROUND(E266*F266,2)</f>
        <v>0.61</v>
      </c>
      <c r="H266" s="197">
        <f>ROUND(G266*($A$16+$A$17)/100,2)</f>
        <v>0</v>
      </c>
      <c r="I266" s="198">
        <f>SUM(G266:H266)</f>
        <v>0.61</v>
      </c>
      <c r="J266" s="257">
        <v>15</v>
      </c>
      <c r="K266" s="214">
        <f>$G$19</f>
        <v>0.0482</v>
      </c>
      <c r="L266" s="197">
        <f>ROUND(J266*K266,2)</f>
        <v>0.72</v>
      </c>
      <c r="M266" s="197">
        <f>ROUND(L266*($A$16+$A$17)/100,2)</f>
        <v>0</v>
      </c>
      <c r="N266" s="198">
        <f>SUM(L266:M266)</f>
        <v>0.72</v>
      </c>
      <c r="O266" s="199">
        <f>SUM(I266,N266)</f>
        <v>1.33</v>
      </c>
      <c r="P266" s="237" t="s">
        <v>511</v>
      </c>
      <c r="Q266" s="439" t="s">
        <v>694</v>
      </c>
      <c r="R266" s="439"/>
      <c r="S266" s="76"/>
      <c r="T266" s="22" t="s">
        <v>54</v>
      </c>
      <c r="U266" s="200">
        <f t="shared" si="295"/>
        <v>1.33</v>
      </c>
      <c r="V266" s="200">
        <f t="shared" si="296"/>
        <v>0.14</v>
      </c>
      <c r="W266" s="197">
        <f t="shared" si="297"/>
        <v>0.5</v>
      </c>
      <c r="X266" s="197">
        <f t="shared" si="298"/>
        <v>0</v>
      </c>
      <c r="Y266" s="197">
        <f t="shared" si="299"/>
        <v>0.02</v>
      </c>
      <c r="Z266" s="201">
        <f t="shared" si="300"/>
        <v>1.46</v>
      </c>
      <c r="AA266" s="202">
        <f t="shared" si="301"/>
        <v>3.45</v>
      </c>
      <c r="AB266" s="203">
        <f t="shared" si="302"/>
        <v>1.04</v>
      </c>
      <c r="AC266" s="204">
        <f t="shared" si="303"/>
        <v>4.49</v>
      </c>
      <c r="AD266" s="205">
        <f t="shared" si="304"/>
        <v>0.24</v>
      </c>
      <c r="AE266" s="206">
        <f t="shared" si="305"/>
        <v>4.73</v>
      </c>
      <c r="AF266" s="24"/>
      <c r="AG266" s="237" t="s">
        <v>511</v>
      </c>
      <c r="AH266" s="439" t="s">
        <v>694</v>
      </c>
      <c r="AI266" s="439"/>
      <c r="AJ266" s="78"/>
      <c r="AK266" s="78"/>
      <c r="AL266" s="207">
        <f t="shared" si="281"/>
        <v>4.73</v>
      </c>
      <c r="AM266" s="207"/>
      <c r="AN266" s="207">
        <f t="shared" si="282"/>
        <v>2.81</v>
      </c>
      <c r="AO266" s="19"/>
      <c r="AP266" s="118"/>
      <c r="AQ266" s="237" t="s">
        <v>511</v>
      </c>
      <c r="AR266" s="439" t="s">
        <v>694</v>
      </c>
      <c r="AS266" s="439"/>
      <c r="AT266" s="119">
        <v>6</v>
      </c>
      <c r="AU266" s="214">
        <f t="shared" si="272"/>
        <v>0.0606</v>
      </c>
      <c r="AV266" s="269">
        <f t="shared" si="273"/>
        <v>0.36</v>
      </c>
      <c r="AW266" s="269">
        <f t="shared" si="274"/>
        <v>0</v>
      </c>
      <c r="AX266" s="198">
        <f t="shared" si="275"/>
        <v>0.36</v>
      </c>
      <c r="AY266" s="29">
        <v>9</v>
      </c>
      <c r="AZ266" s="214">
        <f t="shared" si="276"/>
        <v>0.0482</v>
      </c>
      <c r="BA266" s="269">
        <f t="shared" si="277"/>
        <v>0.43</v>
      </c>
      <c r="BB266" s="269">
        <f t="shared" si="278"/>
        <v>0</v>
      </c>
      <c r="BC266" s="198">
        <f t="shared" si="279"/>
        <v>0.43</v>
      </c>
      <c r="BD266" s="199">
        <f t="shared" si="280"/>
        <v>0.79</v>
      </c>
      <c r="BE266" s="237" t="s">
        <v>511</v>
      </c>
      <c r="BF266" s="439" t="s">
        <v>694</v>
      </c>
      <c r="BG266" s="439"/>
      <c r="BH266" s="136"/>
      <c r="BI266" s="200">
        <f t="shared" si="306"/>
        <v>0.79</v>
      </c>
      <c r="BJ266" s="200">
        <f t="shared" si="283"/>
        <v>0.08</v>
      </c>
      <c r="BK266" s="197">
        <f t="shared" si="307"/>
        <v>0.3</v>
      </c>
      <c r="BL266" s="197">
        <f t="shared" si="308"/>
        <v>0</v>
      </c>
      <c r="BM266" s="197">
        <f t="shared" si="309"/>
        <v>0.01</v>
      </c>
      <c r="BN266" s="201">
        <f t="shared" si="310"/>
        <v>0.87</v>
      </c>
      <c r="BO266" s="202">
        <f t="shared" si="311"/>
        <v>2.05</v>
      </c>
      <c r="BP266" s="203">
        <f t="shared" si="284"/>
        <v>0.62</v>
      </c>
      <c r="BQ266" s="204">
        <f t="shared" si="312"/>
        <v>2.67</v>
      </c>
      <c r="BR266" s="205">
        <f t="shared" si="285"/>
        <v>0.14</v>
      </c>
      <c r="BS266" s="206">
        <f t="shared" si="313"/>
        <v>2.81</v>
      </c>
      <c r="BT266" s="24"/>
    </row>
    <row r="267" spans="1:72" ht="33.75" customHeight="1">
      <c r="A267" s="86"/>
      <c r="B267" s="233" t="s">
        <v>512</v>
      </c>
      <c r="C267" s="234" t="s">
        <v>513</v>
      </c>
      <c r="D267" s="251"/>
      <c r="E267" s="255"/>
      <c r="F267" s="256"/>
      <c r="G267" s="253"/>
      <c r="H267" s="253"/>
      <c r="I267" s="254"/>
      <c r="J267" s="255"/>
      <c r="K267" s="255"/>
      <c r="L267" s="253"/>
      <c r="M267" s="253"/>
      <c r="N267" s="254"/>
      <c r="O267" s="220"/>
      <c r="P267" s="233" t="s">
        <v>512</v>
      </c>
      <c r="Q267" s="442" t="s">
        <v>513</v>
      </c>
      <c r="R267" s="442"/>
      <c r="S267" s="76"/>
      <c r="T267" s="22"/>
      <c r="U267" s="253"/>
      <c r="V267" s="253"/>
      <c r="W267" s="253"/>
      <c r="X267" s="253"/>
      <c r="Y267" s="253"/>
      <c r="Z267" s="253"/>
      <c r="AA267" s="253"/>
      <c r="AB267" s="253"/>
      <c r="AC267" s="253"/>
      <c r="AD267" s="253"/>
      <c r="AE267" s="220"/>
      <c r="AF267" s="86"/>
      <c r="AG267" s="233" t="s">
        <v>512</v>
      </c>
      <c r="AH267" s="442" t="s">
        <v>513</v>
      </c>
      <c r="AI267" s="442"/>
      <c r="AJ267" s="78"/>
      <c r="AK267" s="78"/>
      <c r="AL267" s="207"/>
      <c r="AM267" s="207"/>
      <c r="AN267" s="207"/>
      <c r="AO267" s="19"/>
      <c r="AP267" s="121"/>
      <c r="AQ267" s="233" t="s">
        <v>512</v>
      </c>
      <c r="AR267" s="442" t="s">
        <v>513</v>
      </c>
      <c r="AS267" s="442"/>
      <c r="AT267" s="119"/>
      <c r="AU267" s="256"/>
      <c r="AV267" s="254"/>
      <c r="AW267" s="254"/>
      <c r="AX267" s="254"/>
      <c r="AY267" s="252"/>
      <c r="AZ267" s="256"/>
      <c r="BA267" s="254"/>
      <c r="BB267" s="254"/>
      <c r="BC267" s="254"/>
      <c r="BD267" s="220"/>
      <c r="BE267" s="233" t="s">
        <v>512</v>
      </c>
      <c r="BF267" s="442" t="s">
        <v>513</v>
      </c>
      <c r="BG267" s="442"/>
      <c r="BH267" s="136"/>
      <c r="BI267" s="253"/>
      <c r="BJ267" s="253"/>
      <c r="BK267" s="253"/>
      <c r="BL267" s="253"/>
      <c r="BM267" s="253"/>
      <c r="BN267" s="253"/>
      <c r="BO267" s="253"/>
      <c r="BP267" s="253"/>
      <c r="BQ267" s="253"/>
      <c r="BR267" s="253"/>
      <c r="BS267" s="220"/>
      <c r="BT267" s="86"/>
    </row>
    <row r="268" spans="1:72" ht="20.25" customHeight="1">
      <c r="A268" s="88"/>
      <c r="B268" s="237" t="s">
        <v>514</v>
      </c>
      <c r="C268" s="238" t="s">
        <v>515</v>
      </c>
      <c r="D268" s="78" t="s">
        <v>53</v>
      </c>
      <c r="E268" s="190">
        <v>15</v>
      </c>
      <c r="F268" s="214">
        <f aca="true" t="shared" si="314" ref="F268:F278">$G$16</f>
        <v>0.0606</v>
      </c>
      <c r="G268" s="197">
        <f aca="true" t="shared" si="315" ref="G268:G279">ROUND(E268*F268,2)</f>
        <v>0.91</v>
      </c>
      <c r="H268" s="197">
        <f aca="true" t="shared" si="316" ref="H268:H279">ROUND(G268*($A$16+$A$17)/100,2)</f>
        <v>0</v>
      </c>
      <c r="I268" s="198">
        <f aca="true" t="shared" si="317" ref="I268:I279">SUM(G268:H268)</f>
        <v>0.91</v>
      </c>
      <c r="J268" s="257">
        <v>20</v>
      </c>
      <c r="K268" s="214">
        <f aca="true" t="shared" si="318" ref="K268:K278">$G$19</f>
        <v>0.0482</v>
      </c>
      <c r="L268" s="197">
        <f aca="true" t="shared" si="319" ref="L268:L279">ROUND(J268*K268,2)</f>
        <v>0.96</v>
      </c>
      <c r="M268" s="197">
        <f aca="true" t="shared" si="320" ref="M268:M279">ROUND(L268*($A$16+$A$17)/100,2)</f>
        <v>0</v>
      </c>
      <c r="N268" s="198">
        <f aca="true" t="shared" si="321" ref="N268:N279">SUM(L268:M268)</f>
        <v>0.96</v>
      </c>
      <c r="O268" s="199">
        <f aca="true" t="shared" si="322" ref="O268:O279">SUM(I268,N268)</f>
        <v>1.87</v>
      </c>
      <c r="P268" s="237" t="s">
        <v>514</v>
      </c>
      <c r="Q268" s="439" t="s">
        <v>515</v>
      </c>
      <c r="R268" s="439"/>
      <c r="S268" s="76"/>
      <c r="T268" s="22" t="s">
        <v>54</v>
      </c>
      <c r="U268" s="200">
        <f t="shared" si="295"/>
        <v>1.87</v>
      </c>
      <c r="V268" s="200">
        <f t="shared" si="296"/>
        <v>0.19</v>
      </c>
      <c r="W268" s="197">
        <f t="shared" si="297"/>
        <v>0.7</v>
      </c>
      <c r="X268" s="197">
        <f t="shared" si="298"/>
        <v>0</v>
      </c>
      <c r="Y268" s="197">
        <f t="shared" si="299"/>
        <v>0.03</v>
      </c>
      <c r="Z268" s="201">
        <f t="shared" si="300"/>
        <v>2.05</v>
      </c>
      <c r="AA268" s="202">
        <f t="shared" si="301"/>
        <v>4.84</v>
      </c>
      <c r="AB268" s="203">
        <f t="shared" si="302"/>
        <v>1.45</v>
      </c>
      <c r="AC268" s="204">
        <f t="shared" si="303"/>
        <v>6.29</v>
      </c>
      <c r="AD268" s="205">
        <f t="shared" si="304"/>
        <v>0.33</v>
      </c>
      <c r="AE268" s="206">
        <f t="shared" si="305"/>
        <v>6.62</v>
      </c>
      <c r="AF268" s="88"/>
      <c r="AG268" s="237" t="s">
        <v>514</v>
      </c>
      <c r="AH268" s="439" t="s">
        <v>515</v>
      </c>
      <c r="AI268" s="439"/>
      <c r="AJ268" s="78" t="s">
        <v>36</v>
      </c>
      <c r="AK268" s="78"/>
      <c r="AL268" s="207">
        <f t="shared" si="281"/>
        <v>6.62</v>
      </c>
      <c r="AM268" s="207"/>
      <c r="AN268" s="207">
        <f t="shared" si="282"/>
        <v>4.02</v>
      </c>
      <c r="AO268" s="19"/>
      <c r="AP268" s="122"/>
      <c r="AQ268" s="237" t="s">
        <v>514</v>
      </c>
      <c r="AR268" s="439" t="s">
        <v>515</v>
      </c>
      <c r="AS268" s="439"/>
      <c r="AT268" s="119">
        <v>9</v>
      </c>
      <c r="AU268" s="214">
        <f t="shared" si="272"/>
        <v>0.0606</v>
      </c>
      <c r="AV268" s="269">
        <f t="shared" si="273"/>
        <v>0.55</v>
      </c>
      <c r="AW268" s="269">
        <f t="shared" si="274"/>
        <v>0</v>
      </c>
      <c r="AX268" s="198">
        <f t="shared" si="275"/>
        <v>0.55</v>
      </c>
      <c r="AY268" s="29">
        <v>12</v>
      </c>
      <c r="AZ268" s="214">
        <f t="shared" si="276"/>
        <v>0.0482</v>
      </c>
      <c r="BA268" s="269">
        <f t="shared" si="277"/>
        <v>0.58</v>
      </c>
      <c r="BB268" s="269">
        <f t="shared" si="278"/>
        <v>0</v>
      </c>
      <c r="BC268" s="198">
        <f t="shared" si="279"/>
        <v>0.58</v>
      </c>
      <c r="BD268" s="199">
        <f t="shared" si="280"/>
        <v>1.13</v>
      </c>
      <c r="BE268" s="237" t="s">
        <v>514</v>
      </c>
      <c r="BF268" s="439" t="s">
        <v>515</v>
      </c>
      <c r="BG268" s="439"/>
      <c r="BH268" s="136"/>
      <c r="BI268" s="200">
        <f t="shared" si="306"/>
        <v>1.13</v>
      </c>
      <c r="BJ268" s="200">
        <f t="shared" si="283"/>
        <v>0.12</v>
      </c>
      <c r="BK268" s="197">
        <f t="shared" si="307"/>
        <v>0.43</v>
      </c>
      <c r="BL268" s="197">
        <f t="shared" si="308"/>
        <v>0</v>
      </c>
      <c r="BM268" s="197">
        <f t="shared" si="309"/>
        <v>0.02</v>
      </c>
      <c r="BN268" s="201">
        <f t="shared" si="310"/>
        <v>1.24</v>
      </c>
      <c r="BO268" s="202">
        <f t="shared" si="311"/>
        <v>2.94</v>
      </c>
      <c r="BP268" s="203">
        <f t="shared" si="284"/>
        <v>0.88</v>
      </c>
      <c r="BQ268" s="204">
        <f t="shared" si="312"/>
        <v>3.82</v>
      </c>
      <c r="BR268" s="205">
        <f t="shared" si="285"/>
        <v>0.2</v>
      </c>
      <c r="BS268" s="206">
        <f t="shared" si="313"/>
        <v>4.02</v>
      </c>
      <c r="BT268" s="88"/>
    </row>
    <row r="269" spans="1:72" ht="30.75" customHeight="1">
      <c r="A269" s="88"/>
      <c r="B269" s="237" t="s">
        <v>516</v>
      </c>
      <c r="C269" s="238" t="s">
        <v>517</v>
      </c>
      <c r="D269" s="78" t="s">
        <v>53</v>
      </c>
      <c r="E269" s="190">
        <v>20</v>
      </c>
      <c r="F269" s="214">
        <f t="shared" si="314"/>
        <v>0.0606</v>
      </c>
      <c r="G269" s="197">
        <f t="shared" si="315"/>
        <v>1.21</v>
      </c>
      <c r="H269" s="197">
        <f t="shared" si="316"/>
        <v>0</v>
      </c>
      <c r="I269" s="198">
        <f t="shared" si="317"/>
        <v>1.21</v>
      </c>
      <c r="J269" s="257">
        <v>25</v>
      </c>
      <c r="K269" s="214">
        <f t="shared" si="318"/>
        <v>0.0482</v>
      </c>
      <c r="L269" s="197">
        <f t="shared" si="319"/>
        <v>1.21</v>
      </c>
      <c r="M269" s="197">
        <f t="shared" si="320"/>
        <v>0</v>
      </c>
      <c r="N269" s="198">
        <f t="shared" si="321"/>
        <v>1.21</v>
      </c>
      <c r="O269" s="199">
        <f t="shared" si="322"/>
        <v>2.42</v>
      </c>
      <c r="P269" s="237" t="s">
        <v>516</v>
      </c>
      <c r="Q269" s="439" t="s">
        <v>517</v>
      </c>
      <c r="R269" s="439"/>
      <c r="S269" s="76"/>
      <c r="T269" s="22" t="s">
        <v>54</v>
      </c>
      <c r="U269" s="200">
        <f t="shared" si="295"/>
        <v>2.42</v>
      </c>
      <c r="V269" s="200">
        <f t="shared" si="296"/>
        <v>0.25</v>
      </c>
      <c r="W269" s="197">
        <f t="shared" si="297"/>
        <v>0.91</v>
      </c>
      <c r="X269" s="197">
        <f t="shared" si="298"/>
        <v>0</v>
      </c>
      <c r="Y269" s="197">
        <f t="shared" si="299"/>
        <v>0.04</v>
      </c>
      <c r="Z269" s="201">
        <f t="shared" si="300"/>
        <v>2.66</v>
      </c>
      <c r="AA269" s="202">
        <f t="shared" si="301"/>
        <v>6.28</v>
      </c>
      <c r="AB269" s="203">
        <f t="shared" si="302"/>
        <v>1.88</v>
      </c>
      <c r="AC269" s="204">
        <f t="shared" si="303"/>
        <v>8.16</v>
      </c>
      <c r="AD269" s="205">
        <f t="shared" si="304"/>
        <v>0.43</v>
      </c>
      <c r="AE269" s="206">
        <f t="shared" si="305"/>
        <v>8.59</v>
      </c>
      <c r="AF269" s="88"/>
      <c r="AG269" s="237" t="s">
        <v>516</v>
      </c>
      <c r="AH269" s="439" t="s">
        <v>517</v>
      </c>
      <c r="AI269" s="439"/>
      <c r="AJ269" s="78" t="s">
        <v>36</v>
      </c>
      <c r="AK269" s="78"/>
      <c r="AL269" s="207">
        <f t="shared" si="281"/>
        <v>8.59</v>
      </c>
      <c r="AM269" s="207"/>
      <c r="AN269" s="207">
        <f t="shared" si="282"/>
        <v>5.14</v>
      </c>
      <c r="AO269" s="19"/>
      <c r="AP269" s="122"/>
      <c r="AQ269" s="237" t="s">
        <v>516</v>
      </c>
      <c r="AR269" s="439" t="s">
        <v>517</v>
      </c>
      <c r="AS269" s="439"/>
      <c r="AT269" s="119">
        <v>12</v>
      </c>
      <c r="AU269" s="214">
        <f t="shared" si="272"/>
        <v>0.0606</v>
      </c>
      <c r="AV269" s="269">
        <f t="shared" si="273"/>
        <v>0.73</v>
      </c>
      <c r="AW269" s="269">
        <f t="shared" si="274"/>
        <v>0</v>
      </c>
      <c r="AX269" s="198">
        <f t="shared" si="275"/>
        <v>0.73</v>
      </c>
      <c r="AY269" s="29">
        <v>15</v>
      </c>
      <c r="AZ269" s="214">
        <f t="shared" si="276"/>
        <v>0.0482</v>
      </c>
      <c r="BA269" s="269">
        <f t="shared" si="277"/>
        <v>0.72</v>
      </c>
      <c r="BB269" s="269">
        <f t="shared" si="278"/>
        <v>0</v>
      </c>
      <c r="BC269" s="198">
        <f t="shared" si="279"/>
        <v>0.72</v>
      </c>
      <c r="BD269" s="199">
        <f t="shared" si="280"/>
        <v>1.45</v>
      </c>
      <c r="BE269" s="237" t="s">
        <v>516</v>
      </c>
      <c r="BF269" s="439" t="s">
        <v>517</v>
      </c>
      <c r="BG269" s="439"/>
      <c r="BH269" s="136"/>
      <c r="BI269" s="200">
        <f t="shared" si="306"/>
        <v>1.45</v>
      </c>
      <c r="BJ269" s="200">
        <f t="shared" si="283"/>
        <v>0.15</v>
      </c>
      <c r="BK269" s="197">
        <f t="shared" si="307"/>
        <v>0.54</v>
      </c>
      <c r="BL269" s="197">
        <f t="shared" si="308"/>
        <v>0</v>
      </c>
      <c r="BM269" s="197">
        <f t="shared" si="309"/>
        <v>0.02</v>
      </c>
      <c r="BN269" s="201">
        <f t="shared" si="310"/>
        <v>1.59</v>
      </c>
      <c r="BO269" s="202">
        <f t="shared" si="311"/>
        <v>3.75</v>
      </c>
      <c r="BP269" s="203">
        <f t="shared" si="284"/>
        <v>1.13</v>
      </c>
      <c r="BQ269" s="204">
        <f t="shared" si="312"/>
        <v>4.88</v>
      </c>
      <c r="BR269" s="205">
        <f t="shared" si="285"/>
        <v>0.26</v>
      </c>
      <c r="BS269" s="206">
        <f t="shared" si="313"/>
        <v>5.14</v>
      </c>
      <c r="BT269" s="88"/>
    </row>
    <row r="270" spans="1:72" ht="30.75" customHeight="1">
      <c r="A270" s="88"/>
      <c r="B270" s="237" t="s">
        <v>518</v>
      </c>
      <c r="C270" s="238" t="s">
        <v>519</v>
      </c>
      <c r="D270" s="78" t="s">
        <v>53</v>
      </c>
      <c r="E270" s="190">
        <v>15</v>
      </c>
      <c r="F270" s="214">
        <f t="shared" si="314"/>
        <v>0.0606</v>
      </c>
      <c r="G270" s="197">
        <f t="shared" si="315"/>
        <v>0.91</v>
      </c>
      <c r="H270" s="197">
        <f t="shared" si="316"/>
        <v>0</v>
      </c>
      <c r="I270" s="198">
        <f t="shared" si="317"/>
        <v>0.91</v>
      </c>
      <c r="J270" s="257">
        <v>20</v>
      </c>
      <c r="K270" s="214">
        <f t="shared" si="318"/>
        <v>0.0482</v>
      </c>
      <c r="L270" s="197">
        <f t="shared" si="319"/>
        <v>0.96</v>
      </c>
      <c r="M270" s="197">
        <f t="shared" si="320"/>
        <v>0</v>
      </c>
      <c r="N270" s="198">
        <f t="shared" si="321"/>
        <v>0.96</v>
      </c>
      <c r="O270" s="199">
        <f t="shared" si="322"/>
        <v>1.87</v>
      </c>
      <c r="P270" s="237" t="s">
        <v>518</v>
      </c>
      <c r="Q270" s="439" t="s">
        <v>519</v>
      </c>
      <c r="R270" s="439"/>
      <c r="S270" s="76"/>
      <c r="T270" s="22" t="s">
        <v>54</v>
      </c>
      <c r="U270" s="200">
        <f t="shared" si="295"/>
        <v>1.87</v>
      </c>
      <c r="V270" s="200">
        <f t="shared" si="296"/>
        <v>0.19</v>
      </c>
      <c r="W270" s="197">
        <f t="shared" si="297"/>
        <v>0.7</v>
      </c>
      <c r="X270" s="197">
        <f t="shared" si="298"/>
        <v>0</v>
      </c>
      <c r="Y270" s="197">
        <f t="shared" si="299"/>
        <v>0.03</v>
      </c>
      <c r="Z270" s="201">
        <f t="shared" si="300"/>
        <v>2.05</v>
      </c>
      <c r="AA270" s="202">
        <f t="shared" si="301"/>
        <v>4.84</v>
      </c>
      <c r="AB270" s="203">
        <f t="shared" si="302"/>
        <v>1.45</v>
      </c>
      <c r="AC270" s="204">
        <f t="shared" si="303"/>
        <v>6.29</v>
      </c>
      <c r="AD270" s="205">
        <f t="shared" si="304"/>
        <v>0.33</v>
      </c>
      <c r="AE270" s="206">
        <f t="shared" si="305"/>
        <v>6.62</v>
      </c>
      <c r="AF270" s="88"/>
      <c r="AG270" s="237" t="s">
        <v>518</v>
      </c>
      <c r="AH270" s="439" t="s">
        <v>519</v>
      </c>
      <c r="AI270" s="439"/>
      <c r="AJ270" s="78" t="s">
        <v>36</v>
      </c>
      <c r="AK270" s="78"/>
      <c r="AL270" s="207">
        <f t="shared" si="281"/>
        <v>6.62</v>
      </c>
      <c r="AM270" s="207"/>
      <c r="AN270" s="207">
        <f t="shared" si="282"/>
        <v>4.02</v>
      </c>
      <c r="AO270" s="19"/>
      <c r="AP270" s="122"/>
      <c r="AQ270" s="237" t="s">
        <v>518</v>
      </c>
      <c r="AR270" s="439" t="s">
        <v>519</v>
      </c>
      <c r="AS270" s="439"/>
      <c r="AT270" s="119">
        <v>9</v>
      </c>
      <c r="AU270" s="214">
        <f t="shared" si="272"/>
        <v>0.0606</v>
      </c>
      <c r="AV270" s="269">
        <f t="shared" si="273"/>
        <v>0.55</v>
      </c>
      <c r="AW270" s="269">
        <f t="shared" si="274"/>
        <v>0</v>
      </c>
      <c r="AX270" s="198">
        <f t="shared" si="275"/>
        <v>0.55</v>
      </c>
      <c r="AY270" s="29">
        <v>12</v>
      </c>
      <c r="AZ270" s="214">
        <f t="shared" si="276"/>
        <v>0.0482</v>
      </c>
      <c r="BA270" s="269">
        <f t="shared" si="277"/>
        <v>0.58</v>
      </c>
      <c r="BB270" s="269">
        <f t="shared" si="278"/>
        <v>0</v>
      </c>
      <c r="BC270" s="198">
        <f t="shared" si="279"/>
        <v>0.58</v>
      </c>
      <c r="BD270" s="199">
        <f t="shared" si="280"/>
        <v>1.13</v>
      </c>
      <c r="BE270" s="237" t="s">
        <v>518</v>
      </c>
      <c r="BF270" s="439" t="s">
        <v>519</v>
      </c>
      <c r="BG270" s="439"/>
      <c r="BH270" s="136"/>
      <c r="BI270" s="200">
        <f t="shared" si="306"/>
        <v>1.13</v>
      </c>
      <c r="BJ270" s="200">
        <f t="shared" si="283"/>
        <v>0.12</v>
      </c>
      <c r="BK270" s="197">
        <f t="shared" si="307"/>
        <v>0.43</v>
      </c>
      <c r="BL270" s="197">
        <f t="shared" si="308"/>
        <v>0</v>
      </c>
      <c r="BM270" s="197">
        <f t="shared" si="309"/>
        <v>0.02</v>
      </c>
      <c r="BN270" s="201">
        <f t="shared" si="310"/>
        <v>1.24</v>
      </c>
      <c r="BO270" s="202">
        <f t="shared" si="311"/>
        <v>2.94</v>
      </c>
      <c r="BP270" s="203">
        <f t="shared" si="284"/>
        <v>0.88</v>
      </c>
      <c r="BQ270" s="204">
        <f t="shared" si="312"/>
        <v>3.82</v>
      </c>
      <c r="BR270" s="205">
        <f t="shared" si="285"/>
        <v>0.2</v>
      </c>
      <c r="BS270" s="206">
        <f t="shared" si="313"/>
        <v>4.02</v>
      </c>
      <c r="BT270" s="88"/>
    </row>
    <row r="271" spans="1:72" ht="30.75" customHeight="1">
      <c r="A271" s="88"/>
      <c r="B271" s="237" t="s">
        <v>522</v>
      </c>
      <c r="C271" s="238" t="s">
        <v>523</v>
      </c>
      <c r="D271" s="78" t="s">
        <v>53</v>
      </c>
      <c r="E271" s="190">
        <v>15</v>
      </c>
      <c r="F271" s="214">
        <f t="shared" si="314"/>
        <v>0.0606</v>
      </c>
      <c r="G271" s="197">
        <f t="shared" si="315"/>
        <v>0.91</v>
      </c>
      <c r="H271" s="197">
        <f t="shared" si="316"/>
        <v>0</v>
      </c>
      <c r="I271" s="198">
        <f t="shared" si="317"/>
        <v>0.91</v>
      </c>
      <c r="J271" s="257">
        <v>20</v>
      </c>
      <c r="K271" s="214">
        <f t="shared" si="318"/>
        <v>0.0482</v>
      </c>
      <c r="L271" s="197">
        <f t="shared" si="319"/>
        <v>0.96</v>
      </c>
      <c r="M271" s="197">
        <f t="shared" si="320"/>
        <v>0</v>
      </c>
      <c r="N271" s="198">
        <f t="shared" si="321"/>
        <v>0.96</v>
      </c>
      <c r="O271" s="199">
        <f t="shared" si="322"/>
        <v>1.87</v>
      </c>
      <c r="P271" s="237" t="s">
        <v>522</v>
      </c>
      <c r="Q271" s="439" t="s">
        <v>523</v>
      </c>
      <c r="R271" s="439"/>
      <c r="S271" s="76"/>
      <c r="T271" s="22" t="s">
        <v>54</v>
      </c>
      <c r="U271" s="200">
        <f t="shared" si="295"/>
        <v>1.87</v>
      </c>
      <c r="V271" s="200">
        <f t="shared" si="296"/>
        <v>0.19</v>
      </c>
      <c r="W271" s="197">
        <f t="shared" si="297"/>
        <v>0.7</v>
      </c>
      <c r="X271" s="197">
        <f t="shared" si="298"/>
        <v>0</v>
      </c>
      <c r="Y271" s="197">
        <f t="shared" si="299"/>
        <v>0.03</v>
      </c>
      <c r="Z271" s="201">
        <f t="shared" si="300"/>
        <v>2.05</v>
      </c>
      <c r="AA271" s="202">
        <f t="shared" si="301"/>
        <v>4.84</v>
      </c>
      <c r="AB271" s="203">
        <f t="shared" si="302"/>
        <v>1.45</v>
      </c>
      <c r="AC271" s="204">
        <f t="shared" si="303"/>
        <v>6.29</v>
      </c>
      <c r="AD271" s="205">
        <f t="shared" si="304"/>
        <v>0.33</v>
      </c>
      <c r="AE271" s="206">
        <f t="shared" si="305"/>
        <v>6.62</v>
      </c>
      <c r="AF271" s="88"/>
      <c r="AG271" s="237" t="s">
        <v>522</v>
      </c>
      <c r="AH271" s="439" t="s">
        <v>523</v>
      </c>
      <c r="AI271" s="439"/>
      <c r="AJ271" s="78" t="s">
        <v>36</v>
      </c>
      <c r="AK271" s="78"/>
      <c r="AL271" s="207">
        <f t="shared" si="281"/>
        <v>6.62</v>
      </c>
      <c r="AM271" s="207"/>
      <c r="AN271" s="207">
        <f t="shared" si="282"/>
        <v>4.02</v>
      </c>
      <c r="AO271" s="19"/>
      <c r="AP271" s="122"/>
      <c r="AQ271" s="237" t="s">
        <v>522</v>
      </c>
      <c r="AR271" s="439" t="s">
        <v>523</v>
      </c>
      <c r="AS271" s="439"/>
      <c r="AT271" s="119">
        <v>9</v>
      </c>
      <c r="AU271" s="214">
        <f t="shared" si="272"/>
        <v>0.0606</v>
      </c>
      <c r="AV271" s="269">
        <f t="shared" si="273"/>
        <v>0.55</v>
      </c>
      <c r="AW271" s="269">
        <f t="shared" si="274"/>
        <v>0</v>
      </c>
      <c r="AX271" s="198">
        <f t="shared" si="275"/>
        <v>0.55</v>
      </c>
      <c r="AY271" s="29">
        <v>12</v>
      </c>
      <c r="AZ271" s="214">
        <f t="shared" si="276"/>
        <v>0.0482</v>
      </c>
      <c r="BA271" s="269">
        <f t="shared" si="277"/>
        <v>0.58</v>
      </c>
      <c r="BB271" s="269">
        <f t="shared" si="278"/>
        <v>0</v>
      </c>
      <c r="BC271" s="198">
        <f t="shared" si="279"/>
        <v>0.58</v>
      </c>
      <c r="BD271" s="199">
        <f t="shared" si="280"/>
        <v>1.13</v>
      </c>
      <c r="BE271" s="237" t="s">
        <v>522</v>
      </c>
      <c r="BF271" s="439" t="s">
        <v>523</v>
      </c>
      <c r="BG271" s="439"/>
      <c r="BH271" s="136"/>
      <c r="BI271" s="200">
        <f t="shared" si="306"/>
        <v>1.13</v>
      </c>
      <c r="BJ271" s="200">
        <f t="shared" si="283"/>
        <v>0.12</v>
      </c>
      <c r="BK271" s="197">
        <f t="shared" si="307"/>
        <v>0.43</v>
      </c>
      <c r="BL271" s="197">
        <f t="shared" si="308"/>
        <v>0</v>
      </c>
      <c r="BM271" s="197">
        <f t="shared" si="309"/>
        <v>0.02</v>
      </c>
      <c r="BN271" s="201">
        <f t="shared" si="310"/>
        <v>1.24</v>
      </c>
      <c r="BO271" s="202">
        <f t="shared" si="311"/>
        <v>2.94</v>
      </c>
      <c r="BP271" s="203">
        <f t="shared" si="284"/>
        <v>0.88</v>
      </c>
      <c r="BQ271" s="204">
        <f t="shared" si="312"/>
        <v>3.82</v>
      </c>
      <c r="BR271" s="205">
        <f t="shared" si="285"/>
        <v>0.2</v>
      </c>
      <c r="BS271" s="206">
        <f t="shared" si="313"/>
        <v>4.02</v>
      </c>
      <c r="BT271" s="88"/>
    </row>
    <row r="272" spans="1:72" ht="28.5" customHeight="1">
      <c r="A272" s="88"/>
      <c r="B272" s="237" t="s">
        <v>524</v>
      </c>
      <c r="C272" s="238" t="s">
        <v>525</v>
      </c>
      <c r="D272" s="78" t="s">
        <v>53</v>
      </c>
      <c r="E272" s="190">
        <v>15</v>
      </c>
      <c r="F272" s="214">
        <f t="shared" si="314"/>
        <v>0.0606</v>
      </c>
      <c r="G272" s="197">
        <f t="shared" si="315"/>
        <v>0.91</v>
      </c>
      <c r="H272" s="197">
        <f t="shared" si="316"/>
        <v>0</v>
      </c>
      <c r="I272" s="198">
        <f t="shared" si="317"/>
        <v>0.91</v>
      </c>
      <c r="J272" s="257">
        <v>20</v>
      </c>
      <c r="K272" s="214">
        <f t="shared" si="318"/>
        <v>0.0482</v>
      </c>
      <c r="L272" s="197">
        <f t="shared" si="319"/>
        <v>0.96</v>
      </c>
      <c r="M272" s="197">
        <f t="shared" si="320"/>
        <v>0</v>
      </c>
      <c r="N272" s="198">
        <f t="shared" si="321"/>
        <v>0.96</v>
      </c>
      <c r="O272" s="199">
        <f t="shared" si="322"/>
        <v>1.87</v>
      </c>
      <c r="P272" s="237" t="s">
        <v>524</v>
      </c>
      <c r="Q272" s="439" t="s">
        <v>525</v>
      </c>
      <c r="R272" s="439"/>
      <c r="S272" s="76"/>
      <c r="T272" s="22" t="s">
        <v>54</v>
      </c>
      <c r="U272" s="200">
        <f t="shared" si="295"/>
        <v>1.87</v>
      </c>
      <c r="V272" s="200">
        <f t="shared" si="296"/>
        <v>0.19</v>
      </c>
      <c r="W272" s="197">
        <f t="shared" si="297"/>
        <v>0.7</v>
      </c>
      <c r="X272" s="197">
        <f t="shared" si="298"/>
        <v>0</v>
      </c>
      <c r="Y272" s="197">
        <f t="shared" si="299"/>
        <v>0.03</v>
      </c>
      <c r="Z272" s="201">
        <f t="shared" si="300"/>
        <v>2.05</v>
      </c>
      <c r="AA272" s="202">
        <f t="shared" si="301"/>
        <v>4.84</v>
      </c>
      <c r="AB272" s="203">
        <f t="shared" si="302"/>
        <v>1.45</v>
      </c>
      <c r="AC272" s="204">
        <f t="shared" si="303"/>
        <v>6.29</v>
      </c>
      <c r="AD272" s="205">
        <f t="shared" si="304"/>
        <v>0.33</v>
      </c>
      <c r="AE272" s="206">
        <f t="shared" si="305"/>
        <v>6.62</v>
      </c>
      <c r="AF272" s="88"/>
      <c r="AG272" s="237" t="s">
        <v>524</v>
      </c>
      <c r="AH272" s="439" t="s">
        <v>525</v>
      </c>
      <c r="AI272" s="439"/>
      <c r="AJ272" s="78" t="s">
        <v>36</v>
      </c>
      <c r="AK272" s="78"/>
      <c r="AL272" s="207">
        <f t="shared" si="281"/>
        <v>6.62</v>
      </c>
      <c r="AM272" s="207"/>
      <c r="AN272" s="207">
        <f t="shared" si="282"/>
        <v>4.02</v>
      </c>
      <c r="AO272" s="19"/>
      <c r="AP272" s="122"/>
      <c r="AQ272" s="237" t="s">
        <v>524</v>
      </c>
      <c r="AR272" s="439" t="s">
        <v>525</v>
      </c>
      <c r="AS272" s="439"/>
      <c r="AT272" s="119">
        <v>9</v>
      </c>
      <c r="AU272" s="214">
        <f t="shared" si="272"/>
        <v>0.0606</v>
      </c>
      <c r="AV272" s="269">
        <f t="shared" si="273"/>
        <v>0.55</v>
      </c>
      <c r="AW272" s="269">
        <f t="shared" si="274"/>
        <v>0</v>
      </c>
      <c r="AX272" s="198">
        <f t="shared" si="275"/>
        <v>0.55</v>
      </c>
      <c r="AY272" s="29">
        <v>12</v>
      </c>
      <c r="AZ272" s="214">
        <f t="shared" si="276"/>
        <v>0.0482</v>
      </c>
      <c r="BA272" s="269">
        <f t="shared" si="277"/>
        <v>0.58</v>
      </c>
      <c r="BB272" s="269">
        <f t="shared" si="278"/>
        <v>0</v>
      </c>
      <c r="BC272" s="198">
        <f t="shared" si="279"/>
        <v>0.58</v>
      </c>
      <c r="BD272" s="199">
        <f t="shared" si="280"/>
        <v>1.13</v>
      </c>
      <c r="BE272" s="237" t="s">
        <v>524</v>
      </c>
      <c r="BF272" s="439" t="s">
        <v>525</v>
      </c>
      <c r="BG272" s="439"/>
      <c r="BH272" s="136"/>
      <c r="BI272" s="200">
        <f t="shared" si="306"/>
        <v>1.13</v>
      </c>
      <c r="BJ272" s="200">
        <f t="shared" si="283"/>
        <v>0.12</v>
      </c>
      <c r="BK272" s="197">
        <f t="shared" si="307"/>
        <v>0.43</v>
      </c>
      <c r="BL272" s="197">
        <f t="shared" si="308"/>
        <v>0</v>
      </c>
      <c r="BM272" s="197">
        <f t="shared" si="309"/>
        <v>0.02</v>
      </c>
      <c r="BN272" s="201">
        <f t="shared" si="310"/>
        <v>1.24</v>
      </c>
      <c r="BO272" s="202">
        <f t="shared" si="311"/>
        <v>2.94</v>
      </c>
      <c r="BP272" s="203">
        <f t="shared" si="284"/>
        <v>0.88</v>
      </c>
      <c r="BQ272" s="204">
        <f t="shared" si="312"/>
        <v>3.82</v>
      </c>
      <c r="BR272" s="205">
        <f t="shared" si="285"/>
        <v>0.2</v>
      </c>
      <c r="BS272" s="206">
        <f t="shared" si="313"/>
        <v>4.02</v>
      </c>
      <c r="BT272" s="88"/>
    </row>
    <row r="273" spans="1:72" ht="28.5" customHeight="1">
      <c r="A273" s="88"/>
      <c r="B273" s="237" t="s">
        <v>526</v>
      </c>
      <c r="C273" s="238" t="s">
        <v>527</v>
      </c>
      <c r="D273" s="78" t="s">
        <v>53</v>
      </c>
      <c r="E273" s="190">
        <v>10</v>
      </c>
      <c r="F273" s="214">
        <f t="shared" si="314"/>
        <v>0.0606</v>
      </c>
      <c r="G273" s="197">
        <f t="shared" si="315"/>
        <v>0.61</v>
      </c>
      <c r="H273" s="197">
        <f t="shared" si="316"/>
        <v>0</v>
      </c>
      <c r="I273" s="198">
        <f t="shared" si="317"/>
        <v>0.61</v>
      </c>
      <c r="J273" s="257">
        <v>15</v>
      </c>
      <c r="K273" s="214">
        <f t="shared" si="318"/>
        <v>0.0482</v>
      </c>
      <c r="L273" s="197">
        <f t="shared" si="319"/>
        <v>0.72</v>
      </c>
      <c r="M273" s="197">
        <f t="shared" si="320"/>
        <v>0</v>
      </c>
      <c r="N273" s="198">
        <f t="shared" si="321"/>
        <v>0.72</v>
      </c>
      <c r="O273" s="199">
        <f t="shared" si="322"/>
        <v>1.33</v>
      </c>
      <c r="P273" s="237" t="s">
        <v>526</v>
      </c>
      <c r="Q273" s="439" t="s">
        <v>527</v>
      </c>
      <c r="R273" s="439"/>
      <c r="S273" s="76"/>
      <c r="T273" s="22" t="s">
        <v>54</v>
      </c>
      <c r="U273" s="200">
        <f t="shared" si="295"/>
        <v>1.33</v>
      </c>
      <c r="V273" s="200">
        <f t="shared" si="296"/>
        <v>0.14</v>
      </c>
      <c r="W273" s="197">
        <f t="shared" si="297"/>
        <v>0.5</v>
      </c>
      <c r="X273" s="197">
        <f t="shared" si="298"/>
        <v>0</v>
      </c>
      <c r="Y273" s="197">
        <f t="shared" si="299"/>
        <v>0.02</v>
      </c>
      <c r="Z273" s="201">
        <f t="shared" si="300"/>
        <v>1.46</v>
      </c>
      <c r="AA273" s="202">
        <f t="shared" si="301"/>
        <v>3.45</v>
      </c>
      <c r="AB273" s="203">
        <f t="shared" si="302"/>
        <v>1.04</v>
      </c>
      <c r="AC273" s="204">
        <f t="shared" si="303"/>
        <v>4.49</v>
      </c>
      <c r="AD273" s="205">
        <f t="shared" si="304"/>
        <v>0.24</v>
      </c>
      <c r="AE273" s="206">
        <f t="shared" si="305"/>
        <v>4.73</v>
      </c>
      <c r="AF273" s="88"/>
      <c r="AG273" s="237" t="s">
        <v>526</v>
      </c>
      <c r="AH273" s="439" t="s">
        <v>527</v>
      </c>
      <c r="AI273" s="439"/>
      <c r="AJ273" s="78" t="s">
        <v>36</v>
      </c>
      <c r="AK273" s="78"/>
      <c r="AL273" s="207">
        <f t="shared" si="281"/>
        <v>4.73</v>
      </c>
      <c r="AM273" s="207"/>
      <c r="AN273" s="207">
        <f t="shared" si="282"/>
        <v>2.81</v>
      </c>
      <c r="AO273" s="19"/>
      <c r="AP273" s="122"/>
      <c r="AQ273" s="237" t="s">
        <v>526</v>
      </c>
      <c r="AR273" s="439" t="s">
        <v>527</v>
      </c>
      <c r="AS273" s="439"/>
      <c r="AT273" s="119">
        <v>6</v>
      </c>
      <c r="AU273" s="214">
        <f t="shared" si="272"/>
        <v>0.0606</v>
      </c>
      <c r="AV273" s="269">
        <f t="shared" si="273"/>
        <v>0.36</v>
      </c>
      <c r="AW273" s="269">
        <f t="shared" si="274"/>
        <v>0</v>
      </c>
      <c r="AX273" s="198">
        <f t="shared" si="275"/>
        <v>0.36</v>
      </c>
      <c r="AY273" s="29">
        <v>9</v>
      </c>
      <c r="AZ273" s="214">
        <f t="shared" si="276"/>
        <v>0.0482</v>
      </c>
      <c r="BA273" s="269">
        <f t="shared" si="277"/>
        <v>0.43</v>
      </c>
      <c r="BB273" s="269">
        <f t="shared" si="278"/>
        <v>0</v>
      </c>
      <c r="BC273" s="198">
        <f t="shared" si="279"/>
        <v>0.43</v>
      </c>
      <c r="BD273" s="199">
        <f t="shared" si="280"/>
        <v>0.79</v>
      </c>
      <c r="BE273" s="237" t="s">
        <v>526</v>
      </c>
      <c r="BF273" s="439" t="s">
        <v>527</v>
      </c>
      <c r="BG273" s="439"/>
      <c r="BH273" s="136"/>
      <c r="BI273" s="200">
        <f t="shared" si="306"/>
        <v>0.79</v>
      </c>
      <c r="BJ273" s="200">
        <f t="shared" si="283"/>
        <v>0.08</v>
      </c>
      <c r="BK273" s="197">
        <f t="shared" si="307"/>
        <v>0.3</v>
      </c>
      <c r="BL273" s="197">
        <f t="shared" si="308"/>
        <v>0</v>
      </c>
      <c r="BM273" s="197">
        <f t="shared" si="309"/>
        <v>0.01</v>
      </c>
      <c r="BN273" s="201">
        <f t="shared" si="310"/>
        <v>0.87</v>
      </c>
      <c r="BO273" s="202">
        <f t="shared" si="311"/>
        <v>2.05</v>
      </c>
      <c r="BP273" s="203">
        <f t="shared" si="284"/>
        <v>0.62</v>
      </c>
      <c r="BQ273" s="204">
        <f t="shared" si="312"/>
        <v>2.67</v>
      </c>
      <c r="BR273" s="205">
        <f t="shared" si="285"/>
        <v>0.14</v>
      </c>
      <c r="BS273" s="206">
        <f t="shared" si="313"/>
        <v>2.81</v>
      </c>
      <c r="BT273" s="88"/>
    </row>
    <row r="274" spans="1:72" ht="32.25" customHeight="1">
      <c r="A274" s="88"/>
      <c r="B274" s="237" t="s">
        <v>528</v>
      </c>
      <c r="C274" s="238" t="s">
        <v>529</v>
      </c>
      <c r="D274" s="78" t="s">
        <v>53</v>
      </c>
      <c r="E274" s="190">
        <v>15</v>
      </c>
      <c r="F274" s="214">
        <f t="shared" si="314"/>
        <v>0.0606</v>
      </c>
      <c r="G274" s="197">
        <f t="shared" si="315"/>
        <v>0.91</v>
      </c>
      <c r="H274" s="197">
        <f t="shared" si="316"/>
        <v>0</v>
      </c>
      <c r="I274" s="198">
        <f t="shared" si="317"/>
        <v>0.91</v>
      </c>
      <c r="J274" s="257">
        <v>25</v>
      </c>
      <c r="K274" s="214">
        <f t="shared" si="318"/>
        <v>0.0482</v>
      </c>
      <c r="L274" s="197">
        <f t="shared" si="319"/>
        <v>1.21</v>
      </c>
      <c r="M274" s="197">
        <f t="shared" si="320"/>
        <v>0</v>
      </c>
      <c r="N274" s="198">
        <f t="shared" si="321"/>
        <v>1.21</v>
      </c>
      <c r="O274" s="199">
        <f t="shared" si="322"/>
        <v>2.12</v>
      </c>
      <c r="P274" s="237" t="s">
        <v>528</v>
      </c>
      <c r="Q274" s="439" t="s">
        <v>529</v>
      </c>
      <c r="R274" s="439"/>
      <c r="S274" s="76"/>
      <c r="T274" s="22" t="s">
        <v>54</v>
      </c>
      <c r="U274" s="200">
        <f t="shared" si="295"/>
        <v>2.12</v>
      </c>
      <c r="V274" s="200">
        <f t="shared" si="296"/>
        <v>0.22</v>
      </c>
      <c r="W274" s="197">
        <f t="shared" si="297"/>
        <v>0.8</v>
      </c>
      <c r="X274" s="197">
        <f t="shared" si="298"/>
        <v>0</v>
      </c>
      <c r="Y274" s="197">
        <f t="shared" si="299"/>
        <v>0.04</v>
      </c>
      <c r="Z274" s="201">
        <f t="shared" si="300"/>
        <v>2.33</v>
      </c>
      <c r="AA274" s="202">
        <f t="shared" si="301"/>
        <v>5.510000000000001</v>
      </c>
      <c r="AB274" s="203">
        <f t="shared" si="302"/>
        <v>1.65</v>
      </c>
      <c r="AC274" s="204">
        <f t="shared" si="303"/>
        <v>7.16</v>
      </c>
      <c r="AD274" s="205">
        <f t="shared" si="304"/>
        <v>0.38</v>
      </c>
      <c r="AE274" s="206">
        <f t="shared" si="305"/>
        <v>7.54</v>
      </c>
      <c r="AF274" s="88"/>
      <c r="AG274" s="237" t="s">
        <v>528</v>
      </c>
      <c r="AH274" s="439" t="s">
        <v>529</v>
      </c>
      <c r="AI274" s="439"/>
      <c r="AJ274" s="78" t="s">
        <v>41</v>
      </c>
      <c r="AK274" s="78"/>
      <c r="AL274" s="207">
        <f t="shared" si="281"/>
        <v>7.54</v>
      </c>
      <c r="AM274" s="207"/>
      <c r="AN274" s="207">
        <f t="shared" si="282"/>
        <v>4.510000000000001</v>
      </c>
      <c r="AO274" s="19"/>
      <c r="AP274" s="122"/>
      <c r="AQ274" s="237" t="s">
        <v>528</v>
      </c>
      <c r="AR274" s="439" t="s">
        <v>529</v>
      </c>
      <c r="AS274" s="439"/>
      <c r="AT274" s="119">
        <v>9</v>
      </c>
      <c r="AU274" s="214">
        <f t="shared" si="272"/>
        <v>0.0606</v>
      </c>
      <c r="AV274" s="269">
        <f t="shared" si="273"/>
        <v>0.55</v>
      </c>
      <c r="AW274" s="269">
        <f t="shared" si="274"/>
        <v>0</v>
      </c>
      <c r="AX274" s="198">
        <f t="shared" si="275"/>
        <v>0.55</v>
      </c>
      <c r="AY274" s="29">
        <v>15</v>
      </c>
      <c r="AZ274" s="214">
        <f t="shared" si="276"/>
        <v>0.0482</v>
      </c>
      <c r="BA274" s="269">
        <f t="shared" si="277"/>
        <v>0.72</v>
      </c>
      <c r="BB274" s="269">
        <f t="shared" si="278"/>
        <v>0</v>
      </c>
      <c r="BC274" s="198">
        <f t="shared" si="279"/>
        <v>0.72</v>
      </c>
      <c r="BD274" s="199">
        <f t="shared" si="280"/>
        <v>1.27</v>
      </c>
      <c r="BE274" s="237" t="s">
        <v>528</v>
      </c>
      <c r="BF274" s="439" t="s">
        <v>529</v>
      </c>
      <c r="BG274" s="439"/>
      <c r="BH274" s="136"/>
      <c r="BI274" s="200">
        <f t="shared" si="306"/>
        <v>1.27</v>
      </c>
      <c r="BJ274" s="200">
        <f t="shared" si="283"/>
        <v>0.13</v>
      </c>
      <c r="BK274" s="197">
        <f t="shared" si="307"/>
        <v>0.48</v>
      </c>
      <c r="BL274" s="197">
        <f t="shared" si="308"/>
        <v>0</v>
      </c>
      <c r="BM274" s="197">
        <f t="shared" si="309"/>
        <v>0.02</v>
      </c>
      <c r="BN274" s="201">
        <f t="shared" si="310"/>
        <v>1.39</v>
      </c>
      <c r="BO274" s="202">
        <f t="shared" si="311"/>
        <v>3.29</v>
      </c>
      <c r="BP274" s="203">
        <f t="shared" si="284"/>
        <v>0.99</v>
      </c>
      <c r="BQ274" s="204">
        <f t="shared" si="312"/>
        <v>4.28</v>
      </c>
      <c r="BR274" s="205">
        <f t="shared" si="285"/>
        <v>0.23</v>
      </c>
      <c r="BS274" s="206">
        <f t="shared" si="313"/>
        <v>4.510000000000001</v>
      </c>
      <c r="BT274" s="88"/>
    </row>
    <row r="275" spans="1:72" ht="41.25" customHeight="1">
      <c r="A275" s="86"/>
      <c r="B275" s="237" t="s">
        <v>1131</v>
      </c>
      <c r="C275" s="238" t="s">
        <v>1132</v>
      </c>
      <c r="D275" s="78" t="s">
        <v>53</v>
      </c>
      <c r="E275" s="190">
        <v>35</v>
      </c>
      <c r="F275" s="214">
        <f t="shared" si="314"/>
        <v>0.0606</v>
      </c>
      <c r="G275" s="197">
        <f>ROUND(E275*F275,2)</f>
        <v>2.12</v>
      </c>
      <c r="H275" s="197">
        <f>ROUND(G275*($A$16+$A$17)/100,2)</f>
        <v>0</v>
      </c>
      <c r="I275" s="198">
        <f>SUM(G275:H275)</f>
        <v>2.12</v>
      </c>
      <c r="J275" s="257">
        <v>25</v>
      </c>
      <c r="K275" s="214">
        <f t="shared" si="318"/>
        <v>0.0482</v>
      </c>
      <c r="L275" s="197">
        <f>ROUND(J275*K275,2)</f>
        <v>1.21</v>
      </c>
      <c r="M275" s="197">
        <f>ROUND(L275*($A$16+$A$17)/100,2)</f>
        <v>0</v>
      </c>
      <c r="N275" s="198">
        <f>SUM(L275:M275)</f>
        <v>1.21</v>
      </c>
      <c r="O275" s="199">
        <f>SUM(I275,N275)</f>
        <v>3.33</v>
      </c>
      <c r="P275" s="237" t="s">
        <v>1131</v>
      </c>
      <c r="Q275" s="439" t="s">
        <v>1132</v>
      </c>
      <c r="R275" s="439"/>
      <c r="S275" s="76"/>
      <c r="T275" s="22" t="s">
        <v>54</v>
      </c>
      <c r="U275" s="200">
        <f>O275</f>
        <v>3.33</v>
      </c>
      <c r="V275" s="200">
        <f>ROUND(U275*$S$19,2)</f>
        <v>0.34</v>
      </c>
      <c r="W275" s="197">
        <f>ROUND(SUM(U275:V275)*$AA$19,2)</f>
        <v>1.25</v>
      </c>
      <c r="X275" s="197">
        <f>ROUND(SUM(U275:V275)*$AA$21,2)</f>
        <v>0</v>
      </c>
      <c r="Y275" s="197">
        <f>ROUND(SUM(U275:V275)*$AA$20,2)</f>
        <v>0.06</v>
      </c>
      <c r="Z275" s="201">
        <f>ROUND(U275*$S$20,2)</f>
        <v>3.66</v>
      </c>
      <c r="AA275" s="202">
        <f>SUM(U275:Z275)</f>
        <v>8.64</v>
      </c>
      <c r="AB275" s="203">
        <f>ROUND(AA275*$S$21,2)</f>
        <v>2.59</v>
      </c>
      <c r="AC275" s="204">
        <f>SUM(AA275:AB275)</f>
        <v>11.23</v>
      </c>
      <c r="AD275" s="205">
        <f>ROUND(AC275*$AD$19/95,2)</f>
        <v>0.59</v>
      </c>
      <c r="AE275" s="206">
        <f>SUM(AC275:AD275)</f>
        <v>11.82</v>
      </c>
      <c r="AF275" s="86"/>
      <c r="AG275" s="237" t="s">
        <v>1131</v>
      </c>
      <c r="AH275" s="439" t="s">
        <v>1132</v>
      </c>
      <c r="AI275" s="439"/>
      <c r="AJ275" s="78"/>
      <c r="AK275" s="78"/>
      <c r="AL275" s="207">
        <f>AE275</f>
        <v>11.82</v>
      </c>
      <c r="AM275" s="207"/>
      <c r="AN275" s="207">
        <f>BS275</f>
        <v>7.06</v>
      </c>
      <c r="AO275" s="19"/>
      <c r="AP275" s="121"/>
      <c r="AQ275" s="237" t="s">
        <v>1131</v>
      </c>
      <c r="AR275" s="439" t="s">
        <v>1132</v>
      </c>
      <c r="AS275" s="439"/>
      <c r="AT275" s="119">
        <v>21</v>
      </c>
      <c r="AU275" s="214">
        <f t="shared" si="272"/>
        <v>0.0606</v>
      </c>
      <c r="AV275" s="269">
        <f>ROUND(AT275*AU275,2)</f>
        <v>1.27</v>
      </c>
      <c r="AW275" s="269">
        <f>ROUND(AV275*($A$16+$A$17)/100,2)</f>
        <v>0</v>
      </c>
      <c r="AX275" s="198">
        <f>SUM(AV275:AW275)</f>
        <v>1.27</v>
      </c>
      <c r="AY275" s="29">
        <v>15</v>
      </c>
      <c r="AZ275" s="214">
        <f t="shared" si="276"/>
        <v>0.0482</v>
      </c>
      <c r="BA275" s="269">
        <f>ROUND(AY275*AZ275,2)</f>
        <v>0.72</v>
      </c>
      <c r="BB275" s="269">
        <f>ROUND(BA275*($A$16+$A$17)/100,2)</f>
        <v>0</v>
      </c>
      <c r="BC275" s="198">
        <f>SUM(BA275:BB275)</f>
        <v>0.72</v>
      </c>
      <c r="BD275" s="199">
        <f>SUM(AX275,BC275)</f>
        <v>1.99</v>
      </c>
      <c r="BE275" s="237" t="s">
        <v>1131</v>
      </c>
      <c r="BF275" s="439" t="s">
        <v>1132</v>
      </c>
      <c r="BG275" s="439"/>
      <c r="BH275" s="136"/>
      <c r="BI275" s="200">
        <f>BD275</f>
        <v>1.99</v>
      </c>
      <c r="BJ275" s="200">
        <f>ROUND(BI275*$S$19,2)</f>
        <v>0.21</v>
      </c>
      <c r="BK275" s="197">
        <f>ROUND(SUM(BI275:BJ275)*$AA$19,2)</f>
        <v>0.75</v>
      </c>
      <c r="BL275" s="197">
        <f>ROUND(SUM(BI275:BJ275)*$AA$21,2)</f>
        <v>0</v>
      </c>
      <c r="BM275" s="197">
        <f>ROUND(SUM(BI275:BJ275)*$AA$20,2)</f>
        <v>0.03</v>
      </c>
      <c r="BN275" s="201">
        <f>ROUND(BI275*$S$20,2)</f>
        <v>2.18</v>
      </c>
      <c r="BO275" s="202">
        <f>SUM(BI275:BN275)</f>
        <v>5.16</v>
      </c>
      <c r="BP275" s="203">
        <f>ROUND(BO275*$S$21,2)</f>
        <v>1.55</v>
      </c>
      <c r="BQ275" s="204">
        <f>SUM(BO275:BP275)</f>
        <v>6.71</v>
      </c>
      <c r="BR275" s="205">
        <f>ROUND(BQ275*$AD$19/95,2)</f>
        <v>0.35</v>
      </c>
      <c r="BS275" s="206">
        <f>SUM(BQ275:BR275)</f>
        <v>7.06</v>
      </c>
      <c r="BT275" s="86"/>
    </row>
    <row r="276" spans="1:72" ht="22.5" customHeight="1">
      <c r="A276" s="86"/>
      <c r="B276" s="237" t="s">
        <v>530</v>
      </c>
      <c r="C276" s="238" t="s">
        <v>531</v>
      </c>
      <c r="D276" s="78" t="s">
        <v>53</v>
      </c>
      <c r="E276" s="190">
        <v>7</v>
      </c>
      <c r="F276" s="214">
        <f t="shared" si="314"/>
        <v>0.0606</v>
      </c>
      <c r="G276" s="197">
        <f t="shared" si="315"/>
        <v>0.42</v>
      </c>
      <c r="H276" s="197">
        <f t="shared" si="316"/>
        <v>0</v>
      </c>
      <c r="I276" s="198">
        <f t="shared" si="317"/>
        <v>0.42</v>
      </c>
      <c r="J276" s="257">
        <v>10</v>
      </c>
      <c r="K276" s="214">
        <f t="shared" si="318"/>
        <v>0.0482</v>
      </c>
      <c r="L276" s="197">
        <f t="shared" si="319"/>
        <v>0.48</v>
      </c>
      <c r="M276" s="197">
        <f t="shared" si="320"/>
        <v>0</v>
      </c>
      <c r="N276" s="198">
        <f t="shared" si="321"/>
        <v>0.48</v>
      </c>
      <c r="O276" s="199">
        <f t="shared" si="322"/>
        <v>0.8999999999999999</v>
      </c>
      <c r="P276" s="237" t="s">
        <v>530</v>
      </c>
      <c r="Q276" s="439" t="s">
        <v>531</v>
      </c>
      <c r="R276" s="439"/>
      <c r="S276" s="76"/>
      <c r="T276" s="22" t="s">
        <v>54</v>
      </c>
      <c r="U276" s="200">
        <f t="shared" si="295"/>
        <v>0.8999999999999999</v>
      </c>
      <c r="V276" s="200">
        <f t="shared" si="296"/>
        <v>0.09</v>
      </c>
      <c r="W276" s="197">
        <f t="shared" si="297"/>
        <v>0.34</v>
      </c>
      <c r="X276" s="197">
        <f t="shared" si="298"/>
        <v>0</v>
      </c>
      <c r="Y276" s="197">
        <f t="shared" si="299"/>
        <v>0.01</v>
      </c>
      <c r="Z276" s="201">
        <f t="shared" si="300"/>
        <v>0.99</v>
      </c>
      <c r="AA276" s="202">
        <f t="shared" si="301"/>
        <v>2.33</v>
      </c>
      <c r="AB276" s="203">
        <f t="shared" si="302"/>
        <v>0.7</v>
      </c>
      <c r="AC276" s="204">
        <f t="shared" si="303"/>
        <v>3.0300000000000002</v>
      </c>
      <c r="AD276" s="205">
        <f t="shared" si="304"/>
        <v>0.16</v>
      </c>
      <c r="AE276" s="206">
        <f t="shared" si="305"/>
        <v>3.1900000000000004</v>
      </c>
      <c r="AF276" s="86"/>
      <c r="AG276" s="237" t="s">
        <v>530</v>
      </c>
      <c r="AH276" s="439" t="s">
        <v>531</v>
      </c>
      <c r="AI276" s="439"/>
      <c r="AJ276" s="78"/>
      <c r="AK276" s="78"/>
      <c r="AL276" s="207">
        <f t="shared" si="281"/>
        <v>3.1900000000000004</v>
      </c>
      <c r="AM276" s="207"/>
      <c r="AN276" s="207">
        <f t="shared" si="282"/>
        <v>1.87</v>
      </c>
      <c r="AO276" s="19"/>
      <c r="AP276" s="121"/>
      <c r="AQ276" s="237" t="s">
        <v>530</v>
      </c>
      <c r="AR276" s="439" t="s">
        <v>531</v>
      </c>
      <c r="AS276" s="439"/>
      <c r="AT276" s="119">
        <v>4</v>
      </c>
      <c r="AU276" s="214">
        <f t="shared" si="272"/>
        <v>0.0606</v>
      </c>
      <c r="AV276" s="269">
        <f t="shared" si="273"/>
        <v>0.24</v>
      </c>
      <c r="AW276" s="269">
        <f t="shared" si="274"/>
        <v>0</v>
      </c>
      <c r="AX276" s="198">
        <f t="shared" si="275"/>
        <v>0.24</v>
      </c>
      <c r="AY276" s="29">
        <v>6</v>
      </c>
      <c r="AZ276" s="214">
        <f t="shared" si="276"/>
        <v>0.0482</v>
      </c>
      <c r="BA276" s="269">
        <f t="shared" si="277"/>
        <v>0.29</v>
      </c>
      <c r="BB276" s="269">
        <f t="shared" si="278"/>
        <v>0</v>
      </c>
      <c r="BC276" s="198">
        <f t="shared" si="279"/>
        <v>0.29</v>
      </c>
      <c r="BD276" s="199">
        <f t="shared" si="280"/>
        <v>0.53</v>
      </c>
      <c r="BE276" s="237" t="s">
        <v>530</v>
      </c>
      <c r="BF276" s="439" t="s">
        <v>531</v>
      </c>
      <c r="BG276" s="439"/>
      <c r="BH276" s="136"/>
      <c r="BI276" s="200">
        <f t="shared" si="306"/>
        <v>0.53</v>
      </c>
      <c r="BJ276" s="200">
        <f t="shared" si="283"/>
        <v>0.05</v>
      </c>
      <c r="BK276" s="197">
        <f t="shared" si="307"/>
        <v>0.2</v>
      </c>
      <c r="BL276" s="197">
        <f t="shared" si="308"/>
        <v>0</v>
      </c>
      <c r="BM276" s="197">
        <f t="shared" si="309"/>
        <v>0.01</v>
      </c>
      <c r="BN276" s="201">
        <f t="shared" si="310"/>
        <v>0.58</v>
      </c>
      <c r="BO276" s="202">
        <f t="shared" si="311"/>
        <v>1.37</v>
      </c>
      <c r="BP276" s="203">
        <f t="shared" si="284"/>
        <v>0.41</v>
      </c>
      <c r="BQ276" s="204">
        <f t="shared" si="312"/>
        <v>1.78</v>
      </c>
      <c r="BR276" s="205">
        <f t="shared" si="285"/>
        <v>0.09</v>
      </c>
      <c r="BS276" s="206">
        <f t="shared" si="313"/>
        <v>1.87</v>
      </c>
      <c r="BT276" s="86"/>
    </row>
    <row r="277" spans="1:72" ht="31.5" customHeight="1">
      <c r="A277" s="86"/>
      <c r="B277" s="237" t="s">
        <v>1133</v>
      </c>
      <c r="C277" s="238" t="s">
        <v>1134</v>
      </c>
      <c r="D277" s="78" t="s">
        <v>53</v>
      </c>
      <c r="E277" s="190">
        <v>10</v>
      </c>
      <c r="F277" s="214">
        <f t="shared" si="314"/>
        <v>0.0606</v>
      </c>
      <c r="G277" s="197">
        <f>ROUND(E277*F277,2)</f>
        <v>0.61</v>
      </c>
      <c r="H277" s="197">
        <f>ROUND(G277*($A$16+$A$17)/100,2)</f>
        <v>0</v>
      </c>
      <c r="I277" s="198">
        <f>SUM(G277:H277)</f>
        <v>0.61</v>
      </c>
      <c r="J277" s="257">
        <v>20</v>
      </c>
      <c r="K277" s="214">
        <f t="shared" si="318"/>
        <v>0.0482</v>
      </c>
      <c r="L277" s="197">
        <f>ROUND(J277*K277,2)</f>
        <v>0.96</v>
      </c>
      <c r="M277" s="197">
        <f>ROUND(L277*($A$16+$A$17)/100,2)</f>
        <v>0</v>
      </c>
      <c r="N277" s="198">
        <f>SUM(L277:M277)</f>
        <v>0.96</v>
      </c>
      <c r="O277" s="199">
        <f>SUM(I277,N277)</f>
        <v>1.5699999999999998</v>
      </c>
      <c r="P277" s="237" t="s">
        <v>1133</v>
      </c>
      <c r="Q277" s="439" t="s">
        <v>1134</v>
      </c>
      <c r="R277" s="439"/>
      <c r="S277" s="76"/>
      <c r="T277" s="22" t="s">
        <v>54</v>
      </c>
      <c r="U277" s="200">
        <f>O277</f>
        <v>1.5699999999999998</v>
      </c>
      <c r="V277" s="200">
        <f>ROUND(U277*$S$19,2)</f>
        <v>0.16</v>
      </c>
      <c r="W277" s="197">
        <f>ROUND(SUM(U277:V277)*$AA$19,2)</f>
        <v>0.59</v>
      </c>
      <c r="X277" s="197">
        <f>ROUND(SUM(U277:V277)*$AA$21,2)</f>
        <v>0</v>
      </c>
      <c r="Y277" s="197">
        <f>ROUND(SUM(U277:V277)*$AA$20,2)</f>
        <v>0.03</v>
      </c>
      <c r="Z277" s="201">
        <f>ROUND(U277*$S$20,2)</f>
        <v>1.72</v>
      </c>
      <c r="AA277" s="202">
        <f>SUM(U277:Z277)</f>
        <v>4.069999999999999</v>
      </c>
      <c r="AB277" s="203">
        <f>ROUND(AA277*$S$21,2)</f>
        <v>1.22</v>
      </c>
      <c r="AC277" s="204">
        <f>SUM(AA277:AB277)</f>
        <v>5.289999999999999</v>
      </c>
      <c r="AD277" s="205">
        <f>ROUND(AC277*$AD$19/95,2)</f>
        <v>0.28</v>
      </c>
      <c r="AE277" s="206">
        <f>SUM(AC277:AD277)</f>
        <v>5.569999999999999</v>
      </c>
      <c r="AF277" s="86"/>
      <c r="AG277" s="237" t="s">
        <v>1133</v>
      </c>
      <c r="AH277" s="439" t="s">
        <v>1134</v>
      </c>
      <c r="AI277" s="439"/>
      <c r="AJ277" s="78"/>
      <c r="AK277" s="78"/>
      <c r="AL277" s="207">
        <f>AE277</f>
        <v>5.569999999999999</v>
      </c>
      <c r="AM277" s="207"/>
      <c r="AN277" s="207">
        <f>BS277</f>
        <v>3.3400000000000003</v>
      </c>
      <c r="AO277" s="19"/>
      <c r="AP277" s="121"/>
      <c r="AQ277" s="237" t="s">
        <v>1133</v>
      </c>
      <c r="AR277" s="439" t="s">
        <v>1134</v>
      </c>
      <c r="AS277" s="439"/>
      <c r="AT277" s="119">
        <v>6</v>
      </c>
      <c r="AU277" s="214">
        <f t="shared" si="272"/>
        <v>0.0606</v>
      </c>
      <c r="AV277" s="269">
        <f>ROUND(AT277*AU277,2)</f>
        <v>0.36</v>
      </c>
      <c r="AW277" s="269">
        <f>ROUND(AV277*($A$16+$A$17)/100,2)</f>
        <v>0</v>
      </c>
      <c r="AX277" s="198">
        <f>SUM(AV277:AW277)</f>
        <v>0.36</v>
      </c>
      <c r="AY277" s="29">
        <v>12</v>
      </c>
      <c r="AZ277" s="214">
        <f t="shared" si="276"/>
        <v>0.0482</v>
      </c>
      <c r="BA277" s="269">
        <f>ROUND(AY277*AZ277,2)</f>
        <v>0.58</v>
      </c>
      <c r="BB277" s="269">
        <f>ROUND(BA277*($A$16+$A$17)/100,2)</f>
        <v>0</v>
      </c>
      <c r="BC277" s="198">
        <f>SUM(BA277:BB277)</f>
        <v>0.58</v>
      </c>
      <c r="BD277" s="199">
        <f>SUM(AX277,BC277)</f>
        <v>0.94</v>
      </c>
      <c r="BE277" s="237" t="s">
        <v>1133</v>
      </c>
      <c r="BF277" s="439" t="s">
        <v>1134</v>
      </c>
      <c r="BG277" s="439"/>
      <c r="BH277" s="136"/>
      <c r="BI277" s="200">
        <f>BD277</f>
        <v>0.94</v>
      </c>
      <c r="BJ277" s="200">
        <f>ROUND(BI277*$S$19,2)</f>
        <v>0.1</v>
      </c>
      <c r="BK277" s="197">
        <f>ROUND(SUM(BI277:BJ277)*$AA$19,2)</f>
        <v>0.35</v>
      </c>
      <c r="BL277" s="197">
        <f>ROUND(SUM(BI277:BJ277)*$AA$21,2)</f>
        <v>0</v>
      </c>
      <c r="BM277" s="197">
        <f>ROUND(SUM(BI277:BJ277)*$AA$20,2)</f>
        <v>0.02</v>
      </c>
      <c r="BN277" s="201">
        <f>ROUND(BI277*$S$20,2)</f>
        <v>1.03</v>
      </c>
      <c r="BO277" s="202">
        <f>SUM(BI277:BN277)</f>
        <v>2.4400000000000004</v>
      </c>
      <c r="BP277" s="203">
        <f>ROUND(BO277*$S$21,2)</f>
        <v>0.73</v>
      </c>
      <c r="BQ277" s="204">
        <f>SUM(BO277:BP277)</f>
        <v>3.1700000000000004</v>
      </c>
      <c r="BR277" s="205">
        <f>ROUND(BQ277*$AD$19/95,2)</f>
        <v>0.17</v>
      </c>
      <c r="BS277" s="206">
        <f>SUM(BQ277:BR277)</f>
        <v>3.3400000000000003</v>
      </c>
      <c r="BT277" s="86"/>
    </row>
    <row r="278" spans="1:72" ht="31.5" customHeight="1">
      <c r="A278" s="88"/>
      <c r="B278" s="237" t="s">
        <v>532</v>
      </c>
      <c r="C278" s="238" t="s">
        <v>533</v>
      </c>
      <c r="D278" s="78" t="s">
        <v>53</v>
      </c>
      <c r="E278" s="190">
        <v>15</v>
      </c>
      <c r="F278" s="214">
        <f t="shared" si="314"/>
        <v>0.0606</v>
      </c>
      <c r="G278" s="197">
        <f t="shared" si="315"/>
        <v>0.91</v>
      </c>
      <c r="H278" s="197">
        <f t="shared" si="316"/>
        <v>0</v>
      </c>
      <c r="I278" s="198">
        <f t="shared" si="317"/>
        <v>0.91</v>
      </c>
      <c r="J278" s="257">
        <v>25</v>
      </c>
      <c r="K278" s="214">
        <f t="shared" si="318"/>
        <v>0.0482</v>
      </c>
      <c r="L278" s="197">
        <f t="shared" si="319"/>
        <v>1.21</v>
      </c>
      <c r="M278" s="197">
        <f t="shared" si="320"/>
        <v>0</v>
      </c>
      <c r="N278" s="198">
        <f t="shared" si="321"/>
        <v>1.21</v>
      </c>
      <c r="O278" s="199">
        <f t="shared" si="322"/>
        <v>2.12</v>
      </c>
      <c r="P278" s="237" t="s">
        <v>532</v>
      </c>
      <c r="Q278" s="439" t="s">
        <v>533</v>
      </c>
      <c r="R278" s="439"/>
      <c r="S278" s="76"/>
      <c r="T278" s="22" t="s">
        <v>54</v>
      </c>
      <c r="U278" s="200">
        <f t="shared" si="295"/>
        <v>2.12</v>
      </c>
      <c r="V278" s="200">
        <f t="shared" si="296"/>
        <v>0.22</v>
      </c>
      <c r="W278" s="197">
        <f t="shared" si="297"/>
        <v>0.8</v>
      </c>
      <c r="X278" s="197">
        <f t="shared" si="298"/>
        <v>0</v>
      </c>
      <c r="Y278" s="197">
        <f t="shared" si="299"/>
        <v>0.04</v>
      </c>
      <c r="Z278" s="201">
        <f t="shared" si="300"/>
        <v>2.33</v>
      </c>
      <c r="AA278" s="202">
        <f t="shared" si="301"/>
        <v>5.510000000000001</v>
      </c>
      <c r="AB278" s="203">
        <f t="shared" si="302"/>
        <v>1.65</v>
      </c>
      <c r="AC278" s="204">
        <f t="shared" si="303"/>
        <v>7.16</v>
      </c>
      <c r="AD278" s="205">
        <f t="shared" si="304"/>
        <v>0.38</v>
      </c>
      <c r="AE278" s="206">
        <f t="shared" si="305"/>
        <v>7.54</v>
      </c>
      <c r="AF278" s="88"/>
      <c r="AG278" s="237" t="s">
        <v>532</v>
      </c>
      <c r="AH278" s="439" t="s">
        <v>533</v>
      </c>
      <c r="AI278" s="439"/>
      <c r="AJ278" s="78" t="s">
        <v>41</v>
      </c>
      <c r="AK278" s="78"/>
      <c r="AL278" s="207">
        <f t="shared" si="281"/>
        <v>7.54</v>
      </c>
      <c r="AM278" s="207"/>
      <c r="AN278" s="207">
        <f t="shared" si="282"/>
        <v>4.510000000000001</v>
      </c>
      <c r="AO278" s="19"/>
      <c r="AP278" s="122"/>
      <c r="AQ278" s="237" t="s">
        <v>532</v>
      </c>
      <c r="AR278" s="439" t="s">
        <v>533</v>
      </c>
      <c r="AS278" s="439"/>
      <c r="AT278" s="119">
        <v>9</v>
      </c>
      <c r="AU278" s="214">
        <f t="shared" si="272"/>
        <v>0.0606</v>
      </c>
      <c r="AV278" s="269">
        <f t="shared" si="273"/>
        <v>0.55</v>
      </c>
      <c r="AW278" s="269">
        <f t="shared" si="274"/>
        <v>0</v>
      </c>
      <c r="AX278" s="198">
        <f t="shared" si="275"/>
        <v>0.55</v>
      </c>
      <c r="AY278" s="29">
        <v>15</v>
      </c>
      <c r="AZ278" s="214">
        <f t="shared" si="276"/>
        <v>0.0482</v>
      </c>
      <c r="BA278" s="269">
        <f t="shared" si="277"/>
        <v>0.72</v>
      </c>
      <c r="BB278" s="269">
        <f t="shared" si="278"/>
        <v>0</v>
      </c>
      <c r="BC278" s="198">
        <f t="shared" si="279"/>
        <v>0.72</v>
      </c>
      <c r="BD278" s="199">
        <f t="shared" si="280"/>
        <v>1.27</v>
      </c>
      <c r="BE278" s="237" t="s">
        <v>532</v>
      </c>
      <c r="BF278" s="439" t="s">
        <v>533</v>
      </c>
      <c r="BG278" s="439"/>
      <c r="BH278" s="136"/>
      <c r="BI278" s="200">
        <f t="shared" si="306"/>
        <v>1.27</v>
      </c>
      <c r="BJ278" s="200">
        <f t="shared" si="283"/>
        <v>0.13</v>
      </c>
      <c r="BK278" s="197">
        <f t="shared" si="307"/>
        <v>0.48</v>
      </c>
      <c r="BL278" s="197">
        <f t="shared" si="308"/>
        <v>0</v>
      </c>
      <c r="BM278" s="197">
        <f t="shared" si="309"/>
        <v>0.02</v>
      </c>
      <c r="BN278" s="201">
        <f t="shared" si="310"/>
        <v>1.39</v>
      </c>
      <c r="BO278" s="202">
        <f t="shared" si="311"/>
        <v>3.29</v>
      </c>
      <c r="BP278" s="203">
        <f t="shared" si="284"/>
        <v>0.99</v>
      </c>
      <c r="BQ278" s="204">
        <f t="shared" si="312"/>
        <v>4.28</v>
      </c>
      <c r="BR278" s="205">
        <f t="shared" si="285"/>
        <v>0.23</v>
      </c>
      <c r="BS278" s="206">
        <f t="shared" si="313"/>
        <v>4.510000000000001</v>
      </c>
      <c r="BT278" s="88"/>
    </row>
    <row r="279" spans="1:72" ht="30" customHeight="1">
      <c r="A279" s="88"/>
      <c r="B279" s="237" t="s">
        <v>828</v>
      </c>
      <c r="C279" s="238" t="s">
        <v>829</v>
      </c>
      <c r="D279" s="78" t="s">
        <v>53</v>
      </c>
      <c r="E279" s="190">
        <v>15</v>
      </c>
      <c r="F279" s="214">
        <f>G16</f>
        <v>0.0606</v>
      </c>
      <c r="G279" s="197">
        <f t="shared" si="315"/>
        <v>0.91</v>
      </c>
      <c r="H279" s="197">
        <f t="shared" si="316"/>
        <v>0</v>
      </c>
      <c r="I279" s="198">
        <f t="shared" si="317"/>
        <v>0.91</v>
      </c>
      <c r="J279" s="257">
        <v>25</v>
      </c>
      <c r="K279" s="214">
        <f>G19</f>
        <v>0.0482</v>
      </c>
      <c r="L279" s="197">
        <f t="shared" si="319"/>
        <v>1.21</v>
      </c>
      <c r="M279" s="197">
        <f t="shared" si="320"/>
        <v>0</v>
      </c>
      <c r="N279" s="198">
        <f t="shared" si="321"/>
        <v>1.21</v>
      </c>
      <c r="O279" s="199">
        <f t="shared" si="322"/>
        <v>2.12</v>
      </c>
      <c r="P279" s="237" t="s">
        <v>828</v>
      </c>
      <c r="Q279" s="439" t="s">
        <v>829</v>
      </c>
      <c r="R279" s="439"/>
      <c r="S279" s="76"/>
      <c r="T279" s="22" t="s">
        <v>54</v>
      </c>
      <c r="U279" s="200">
        <f t="shared" si="295"/>
        <v>2.12</v>
      </c>
      <c r="V279" s="200">
        <f t="shared" si="296"/>
        <v>0.22</v>
      </c>
      <c r="W279" s="197">
        <f t="shared" si="297"/>
        <v>0.8</v>
      </c>
      <c r="X279" s="197">
        <f t="shared" si="298"/>
        <v>0</v>
      </c>
      <c r="Y279" s="197">
        <f t="shared" si="299"/>
        <v>0.04</v>
      </c>
      <c r="Z279" s="201">
        <f t="shared" si="300"/>
        <v>2.33</v>
      </c>
      <c r="AA279" s="202">
        <f t="shared" si="301"/>
        <v>5.510000000000001</v>
      </c>
      <c r="AB279" s="203">
        <f t="shared" si="302"/>
        <v>1.65</v>
      </c>
      <c r="AC279" s="204">
        <f t="shared" si="303"/>
        <v>7.16</v>
      </c>
      <c r="AD279" s="205">
        <f t="shared" si="304"/>
        <v>0.38</v>
      </c>
      <c r="AE279" s="206">
        <f t="shared" si="305"/>
        <v>7.54</v>
      </c>
      <c r="AF279" s="88"/>
      <c r="AG279" s="237" t="s">
        <v>828</v>
      </c>
      <c r="AH279" s="439" t="s">
        <v>829</v>
      </c>
      <c r="AI279" s="439"/>
      <c r="AJ279" s="78"/>
      <c r="AK279" s="78"/>
      <c r="AL279" s="207">
        <f t="shared" si="281"/>
        <v>7.54</v>
      </c>
      <c r="AM279" s="207"/>
      <c r="AN279" s="207">
        <f t="shared" si="282"/>
        <v>4.510000000000001</v>
      </c>
      <c r="AO279" s="19"/>
      <c r="AP279" s="122"/>
      <c r="AQ279" s="237" t="s">
        <v>828</v>
      </c>
      <c r="AR279" s="439" t="s">
        <v>829</v>
      </c>
      <c r="AS279" s="439"/>
      <c r="AT279" s="119">
        <v>9</v>
      </c>
      <c r="AU279" s="214">
        <f>AV16</f>
        <v>0.0606</v>
      </c>
      <c r="AV279" s="269">
        <f t="shared" si="273"/>
        <v>0.55</v>
      </c>
      <c r="AW279" s="269">
        <f t="shared" si="274"/>
        <v>0</v>
      </c>
      <c r="AX279" s="198">
        <f t="shared" si="275"/>
        <v>0.55</v>
      </c>
      <c r="AY279" s="29">
        <v>15</v>
      </c>
      <c r="AZ279" s="214">
        <f>AV19</f>
        <v>0.0482</v>
      </c>
      <c r="BA279" s="269">
        <f t="shared" si="277"/>
        <v>0.72</v>
      </c>
      <c r="BB279" s="269">
        <f t="shared" si="278"/>
        <v>0</v>
      </c>
      <c r="BC279" s="198">
        <f t="shared" si="279"/>
        <v>0.72</v>
      </c>
      <c r="BD279" s="199">
        <f t="shared" si="280"/>
        <v>1.27</v>
      </c>
      <c r="BE279" s="237" t="s">
        <v>828</v>
      </c>
      <c r="BF279" s="439" t="s">
        <v>829</v>
      </c>
      <c r="BG279" s="439"/>
      <c r="BH279" s="136"/>
      <c r="BI279" s="200">
        <f t="shared" si="306"/>
        <v>1.27</v>
      </c>
      <c r="BJ279" s="200">
        <f t="shared" si="283"/>
        <v>0.13</v>
      </c>
      <c r="BK279" s="197">
        <f t="shared" si="307"/>
        <v>0.48</v>
      </c>
      <c r="BL279" s="197">
        <f t="shared" si="308"/>
        <v>0</v>
      </c>
      <c r="BM279" s="197">
        <f t="shared" si="309"/>
        <v>0.02</v>
      </c>
      <c r="BN279" s="201">
        <f t="shared" si="310"/>
        <v>1.39</v>
      </c>
      <c r="BO279" s="202">
        <f t="shared" si="311"/>
        <v>3.29</v>
      </c>
      <c r="BP279" s="203">
        <f t="shared" si="284"/>
        <v>0.99</v>
      </c>
      <c r="BQ279" s="204">
        <f t="shared" si="312"/>
        <v>4.28</v>
      </c>
      <c r="BR279" s="205">
        <f t="shared" si="285"/>
        <v>0.23</v>
      </c>
      <c r="BS279" s="206">
        <f t="shared" si="313"/>
        <v>4.510000000000001</v>
      </c>
      <c r="BT279" s="88"/>
    </row>
    <row r="280" spans="1:72" ht="15.75" customHeight="1">
      <c r="A280" s="88"/>
      <c r="B280" s="237" t="s">
        <v>1030</v>
      </c>
      <c r="C280" s="358" t="s">
        <v>1031</v>
      </c>
      <c r="D280" s="78" t="s">
        <v>53</v>
      </c>
      <c r="E280" s="190">
        <v>15</v>
      </c>
      <c r="F280" s="214">
        <f>G16</f>
        <v>0.0606</v>
      </c>
      <c r="G280" s="197">
        <f>ROUND(E280*F280,2)</f>
        <v>0.91</v>
      </c>
      <c r="H280" s="197">
        <f>ROUND(G280*($A$16+$A$17)/100,2)</f>
        <v>0</v>
      </c>
      <c r="I280" s="198">
        <f>SUM(G280:H280)</f>
        <v>0.91</v>
      </c>
      <c r="J280" s="257">
        <v>25</v>
      </c>
      <c r="K280" s="214">
        <f>K279</f>
        <v>0.0482</v>
      </c>
      <c r="L280" s="197">
        <f>ROUND(J280*K280,2)</f>
        <v>1.21</v>
      </c>
      <c r="M280" s="197">
        <f>ROUND(L280*($A$16+$A$17)/100,2)</f>
        <v>0</v>
      </c>
      <c r="N280" s="198">
        <f>SUM(L280:M280)</f>
        <v>1.21</v>
      </c>
      <c r="O280" s="199">
        <f>SUM(I280,N280)</f>
        <v>2.12</v>
      </c>
      <c r="P280" s="237" t="s">
        <v>1030</v>
      </c>
      <c r="Q280" s="439" t="s">
        <v>1031</v>
      </c>
      <c r="R280" s="439"/>
      <c r="S280" s="76"/>
      <c r="T280" s="22" t="s">
        <v>54</v>
      </c>
      <c r="U280" s="200">
        <f>O280</f>
        <v>2.12</v>
      </c>
      <c r="V280" s="200">
        <f>ROUND(U280*$S$19,2)</f>
        <v>0.22</v>
      </c>
      <c r="W280" s="197">
        <f>ROUND(SUM(U280:V280)*$AA$19,2)</f>
        <v>0.8</v>
      </c>
      <c r="X280" s="197">
        <f>ROUND(SUM(U280:V280)*$AA$21,2)</f>
        <v>0</v>
      </c>
      <c r="Y280" s="197">
        <f>ROUND(SUM(U280:V280)*$AA$20,2)</f>
        <v>0.04</v>
      </c>
      <c r="Z280" s="201">
        <f>ROUND(U280*$S$20,2)</f>
        <v>2.33</v>
      </c>
      <c r="AA280" s="202">
        <f>SUM(U280:Z280)</f>
        <v>5.510000000000001</v>
      </c>
      <c r="AB280" s="203">
        <f>ROUND(AA280*$S$21,2)</f>
        <v>1.65</v>
      </c>
      <c r="AC280" s="204">
        <f>SUM(AA280:AB280)</f>
        <v>7.16</v>
      </c>
      <c r="AD280" s="205">
        <f>ROUND(AC280*$AD$19/95,2)</f>
        <v>0.38</v>
      </c>
      <c r="AE280" s="206">
        <f>SUM(AC280:AD280)</f>
        <v>7.54</v>
      </c>
      <c r="AF280" s="88"/>
      <c r="AG280" s="237" t="s">
        <v>1030</v>
      </c>
      <c r="AH280" s="439" t="s">
        <v>1031</v>
      </c>
      <c r="AI280" s="439"/>
      <c r="AJ280" s="78"/>
      <c r="AK280" s="78"/>
      <c r="AL280" s="207">
        <f>AE280</f>
        <v>7.54</v>
      </c>
      <c r="AM280" s="207"/>
      <c r="AN280" s="207">
        <f>BS280</f>
        <v>4.510000000000001</v>
      </c>
      <c r="AO280" s="19"/>
      <c r="AP280" s="122"/>
      <c r="AQ280" s="237" t="s">
        <v>1030</v>
      </c>
      <c r="AR280" s="439" t="s">
        <v>1031</v>
      </c>
      <c r="AS280" s="439"/>
      <c r="AT280" s="119">
        <v>9</v>
      </c>
      <c r="AU280" s="214">
        <f>AU279</f>
        <v>0.0606</v>
      </c>
      <c r="AV280" s="269">
        <f>ROUND(AT280*AU280,2)</f>
        <v>0.55</v>
      </c>
      <c r="AW280" s="269">
        <f>ROUND(AV280*($A$16+$A$17)/100,2)</f>
        <v>0</v>
      </c>
      <c r="AX280" s="198">
        <f>SUM(AV280:AW280)</f>
        <v>0.55</v>
      </c>
      <c r="AY280" s="29">
        <v>15</v>
      </c>
      <c r="AZ280" s="214">
        <f>AZ279</f>
        <v>0.0482</v>
      </c>
      <c r="BA280" s="269">
        <f>ROUND(AY280*AZ280,2)</f>
        <v>0.72</v>
      </c>
      <c r="BB280" s="269">
        <f>ROUND(BA280*($A$16+$A$17)/100,2)</f>
        <v>0</v>
      </c>
      <c r="BC280" s="198">
        <f>SUM(BA280:BB280)</f>
        <v>0.72</v>
      </c>
      <c r="BD280" s="199">
        <f>SUM(AX280,BC280)</f>
        <v>1.27</v>
      </c>
      <c r="BE280" s="237" t="s">
        <v>1030</v>
      </c>
      <c r="BF280" s="439" t="s">
        <v>1031</v>
      </c>
      <c r="BG280" s="439"/>
      <c r="BH280" s="136"/>
      <c r="BI280" s="200">
        <f>BD280</f>
        <v>1.27</v>
      </c>
      <c r="BJ280" s="200">
        <f>ROUND(BI280*$S$19,2)</f>
        <v>0.13</v>
      </c>
      <c r="BK280" s="197">
        <f>ROUND(SUM(BI280:BJ280)*$AA$19,2)</f>
        <v>0.48</v>
      </c>
      <c r="BL280" s="197">
        <f>ROUND(SUM(BI280:BJ280)*$AA$21,2)</f>
        <v>0</v>
      </c>
      <c r="BM280" s="197">
        <f>ROUND(SUM(BI280:BJ280)*$AA$20,2)</f>
        <v>0.02</v>
      </c>
      <c r="BN280" s="201">
        <f>ROUND(BI280*$S$20,2)</f>
        <v>1.39</v>
      </c>
      <c r="BO280" s="202">
        <f>SUM(BI280:BN280)</f>
        <v>3.29</v>
      </c>
      <c r="BP280" s="203">
        <f>ROUND(BO280*$S$21,2)</f>
        <v>0.99</v>
      </c>
      <c r="BQ280" s="204">
        <f>SUM(BO280:BP280)</f>
        <v>4.28</v>
      </c>
      <c r="BR280" s="205">
        <f>ROUND(BQ280*$AD$19/95,2)</f>
        <v>0.23</v>
      </c>
      <c r="BS280" s="206">
        <f>SUM(BQ280:BR280)</f>
        <v>4.510000000000001</v>
      </c>
      <c r="BT280" s="88"/>
    </row>
    <row r="281" spans="1:72" ht="32.25" customHeight="1">
      <c r="A281" s="88"/>
      <c r="B281" s="233" t="s">
        <v>534</v>
      </c>
      <c r="C281" s="234" t="s">
        <v>535</v>
      </c>
      <c r="D281" s="251"/>
      <c r="E281" s="255"/>
      <c r="F281" s="256"/>
      <c r="G281" s="253"/>
      <c r="H281" s="253"/>
      <c r="I281" s="254"/>
      <c r="J281" s="255"/>
      <c r="K281" s="255"/>
      <c r="L281" s="253"/>
      <c r="M281" s="253"/>
      <c r="N281" s="254"/>
      <c r="O281" s="220"/>
      <c r="P281" s="233" t="s">
        <v>534</v>
      </c>
      <c r="Q281" s="442" t="s">
        <v>535</v>
      </c>
      <c r="R281" s="442"/>
      <c r="S281" s="76"/>
      <c r="T281" s="219"/>
      <c r="U281" s="253"/>
      <c r="V281" s="253"/>
      <c r="W281" s="253"/>
      <c r="X281" s="253"/>
      <c r="Y281" s="253"/>
      <c r="Z281" s="253"/>
      <c r="AA281" s="253"/>
      <c r="AB281" s="253"/>
      <c r="AC281" s="253"/>
      <c r="AD281" s="253"/>
      <c r="AE281" s="220"/>
      <c r="AF281" s="88"/>
      <c r="AG281" s="233" t="s">
        <v>534</v>
      </c>
      <c r="AH281" s="442" t="s">
        <v>535</v>
      </c>
      <c r="AI281" s="442"/>
      <c r="AJ281" s="78"/>
      <c r="AK281" s="78"/>
      <c r="AL281" s="207"/>
      <c r="AM281" s="207"/>
      <c r="AN281" s="207"/>
      <c r="AO281" s="19"/>
      <c r="AP281" s="122"/>
      <c r="AQ281" s="233" t="s">
        <v>534</v>
      </c>
      <c r="AR281" s="442" t="s">
        <v>535</v>
      </c>
      <c r="AS281" s="442"/>
      <c r="AT281" s="119"/>
      <c r="AU281" s="256"/>
      <c r="AV281" s="254"/>
      <c r="AW281" s="254"/>
      <c r="AX281" s="254"/>
      <c r="AY281" s="252"/>
      <c r="AZ281" s="256"/>
      <c r="BA281" s="254"/>
      <c r="BB281" s="254"/>
      <c r="BC281" s="254"/>
      <c r="BD281" s="220"/>
      <c r="BE281" s="233" t="s">
        <v>534</v>
      </c>
      <c r="BF281" s="442" t="s">
        <v>535</v>
      </c>
      <c r="BG281" s="442"/>
      <c r="BH281" s="136"/>
      <c r="BI281" s="253"/>
      <c r="BJ281" s="253"/>
      <c r="BK281" s="253"/>
      <c r="BL281" s="253"/>
      <c r="BM281" s="253"/>
      <c r="BN281" s="253"/>
      <c r="BO281" s="253"/>
      <c r="BP281" s="253"/>
      <c r="BQ281" s="253"/>
      <c r="BR281" s="253"/>
      <c r="BS281" s="220"/>
      <c r="BT281" s="88"/>
    </row>
    <row r="282" spans="1:72" ht="18.75" customHeight="1">
      <c r="A282" s="88"/>
      <c r="B282" s="237" t="s">
        <v>536</v>
      </c>
      <c r="C282" s="238" t="s">
        <v>515</v>
      </c>
      <c r="D282" s="78" t="s">
        <v>53</v>
      </c>
      <c r="E282" s="190">
        <v>10</v>
      </c>
      <c r="F282" s="214">
        <f>$G$16</f>
        <v>0.0606</v>
      </c>
      <c r="G282" s="197">
        <f>ROUND(E282*F282,2)</f>
        <v>0.61</v>
      </c>
      <c r="H282" s="197">
        <f>ROUND(G282*($A$16+$A$17)/100,2)</f>
        <v>0</v>
      </c>
      <c r="I282" s="198">
        <f>SUM(G282:H282)</f>
        <v>0.61</v>
      </c>
      <c r="J282" s="257">
        <v>20</v>
      </c>
      <c r="K282" s="214">
        <f>$G$19</f>
        <v>0.0482</v>
      </c>
      <c r="L282" s="197">
        <f>ROUND(J282*K282,2)</f>
        <v>0.96</v>
      </c>
      <c r="M282" s="197">
        <f>ROUND(L282*($A$16+$A$17)/100,2)</f>
        <v>0</v>
      </c>
      <c r="N282" s="198">
        <f>SUM(L282:M282)</f>
        <v>0.96</v>
      </c>
      <c r="O282" s="199">
        <f>SUM(I282,N282)</f>
        <v>1.5699999999999998</v>
      </c>
      <c r="P282" s="237" t="s">
        <v>536</v>
      </c>
      <c r="Q282" s="439" t="s">
        <v>515</v>
      </c>
      <c r="R282" s="439"/>
      <c r="S282" s="76"/>
      <c r="T282" s="22" t="s">
        <v>54</v>
      </c>
      <c r="U282" s="200">
        <f t="shared" si="295"/>
        <v>1.5699999999999998</v>
      </c>
      <c r="V282" s="200">
        <f t="shared" si="296"/>
        <v>0.16</v>
      </c>
      <c r="W282" s="197">
        <f t="shared" si="297"/>
        <v>0.59</v>
      </c>
      <c r="X282" s="197">
        <f t="shared" si="298"/>
        <v>0</v>
      </c>
      <c r="Y282" s="197">
        <f t="shared" si="299"/>
        <v>0.03</v>
      </c>
      <c r="Z282" s="201">
        <f t="shared" si="300"/>
        <v>1.72</v>
      </c>
      <c r="AA282" s="202">
        <f t="shared" si="301"/>
        <v>4.069999999999999</v>
      </c>
      <c r="AB282" s="203">
        <f t="shared" si="302"/>
        <v>1.22</v>
      </c>
      <c r="AC282" s="204">
        <f t="shared" si="303"/>
        <v>5.289999999999999</v>
      </c>
      <c r="AD282" s="205">
        <f t="shared" si="304"/>
        <v>0.28</v>
      </c>
      <c r="AE282" s="206">
        <f t="shared" si="305"/>
        <v>5.569999999999999</v>
      </c>
      <c r="AF282" s="88"/>
      <c r="AG282" s="237" t="s">
        <v>536</v>
      </c>
      <c r="AH282" s="439" t="s">
        <v>515</v>
      </c>
      <c r="AI282" s="439"/>
      <c r="AJ282" s="78" t="s">
        <v>41</v>
      </c>
      <c r="AK282" s="78"/>
      <c r="AL282" s="207">
        <f t="shared" si="281"/>
        <v>5.569999999999999</v>
      </c>
      <c r="AM282" s="207"/>
      <c r="AN282" s="207">
        <f t="shared" si="282"/>
        <v>3.3400000000000003</v>
      </c>
      <c r="AO282" s="19"/>
      <c r="AP282" s="122"/>
      <c r="AQ282" s="237" t="s">
        <v>536</v>
      </c>
      <c r="AR282" s="439" t="s">
        <v>515</v>
      </c>
      <c r="AS282" s="439"/>
      <c r="AT282" s="119">
        <v>6</v>
      </c>
      <c r="AU282" s="214">
        <f t="shared" si="272"/>
        <v>0.0606</v>
      </c>
      <c r="AV282" s="269">
        <f t="shared" si="273"/>
        <v>0.36</v>
      </c>
      <c r="AW282" s="269">
        <f t="shared" si="274"/>
        <v>0</v>
      </c>
      <c r="AX282" s="198">
        <f t="shared" si="275"/>
        <v>0.36</v>
      </c>
      <c r="AY282" s="29">
        <v>12</v>
      </c>
      <c r="AZ282" s="214">
        <f t="shared" si="276"/>
        <v>0.0482</v>
      </c>
      <c r="BA282" s="269">
        <f t="shared" si="277"/>
        <v>0.58</v>
      </c>
      <c r="BB282" s="269">
        <f t="shared" si="278"/>
        <v>0</v>
      </c>
      <c r="BC282" s="198">
        <f t="shared" si="279"/>
        <v>0.58</v>
      </c>
      <c r="BD282" s="199">
        <f t="shared" si="280"/>
        <v>0.94</v>
      </c>
      <c r="BE282" s="237" t="s">
        <v>536</v>
      </c>
      <c r="BF282" s="439" t="s">
        <v>515</v>
      </c>
      <c r="BG282" s="439"/>
      <c r="BH282" s="136"/>
      <c r="BI282" s="200">
        <f t="shared" si="306"/>
        <v>0.94</v>
      </c>
      <c r="BJ282" s="200">
        <f t="shared" si="283"/>
        <v>0.1</v>
      </c>
      <c r="BK282" s="197">
        <f t="shared" si="307"/>
        <v>0.35</v>
      </c>
      <c r="BL282" s="197">
        <f t="shared" si="308"/>
        <v>0</v>
      </c>
      <c r="BM282" s="197">
        <f t="shared" si="309"/>
        <v>0.02</v>
      </c>
      <c r="BN282" s="201">
        <f t="shared" si="310"/>
        <v>1.03</v>
      </c>
      <c r="BO282" s="202">
        <f t="shared" si="311"/>
        <v>2.4400000000000004</v>
      </c>
      <c r="BP282" s="203">
        <f t="shared" si="284"/>
        <v>0.73</v>
      </c>
      <c r="BQ282" s="204">
        <f t="shared" si="312"/>
        <v>3.1700000000000004</v>
      </c>
      <c r="BR282" s="205">
        <f t="shared" si="285"/>
        <v>0.17</v>
      </c>
      <c r="BS282" s="206">
        <f t="shared" si="313"/>
        <v>3.3400000000000003</v>
      </c>
      <c r="BT282" s="88"/>
    </row>
    <row r="283" spans="1:72" ht="31.5" customHeight="1">
      <c r="A283" s="88"/>
      <c r="B283" s="237" t="s">
        <v>537</v>
      </c>
      <c r="C283" s="238" t="s">
        <v>517</v>
      </c>
      <c r="D283" s="78" t="s">
        <v>53</v>
      </c>
      <c r="E283" s="190">
        <v>20</v>
      </c>
      <c r="F283" s="214">
        <f>$G$16</f>
        <v>0.0606</v>
      </c>
      <c r="G283" s="197">
        <f>ROUND(E283*F283,2)</f>
        <v>1.21</v>
      </c>
      <c r="H283" s="197">
        <f>ROUND(G283*($A$16+$A$17)/100,2)</f>
        <v>0</v>
      </c>
      <c r="I283" s="198">
        <f>SUM(G283:H283)</f>
        <v>1.21</v>
      </c>
      <c r="J283" s="257">
        <v>20</v>
      </c>
      <c r="K283" s="214">
        <f>$G$19</f>
        <v>0.0482</v>
      </c>
      <c r="L283" s="197">
        <f>ROUND(J283*K283,2)</f>
        <v>0.96</v>
      </c>
      <c r="M283" s="197">
        <f>ROUND(L283*($A$16+$A$17)/100,2)</f>
        <v>0</v>
      </c>
      <c r="N283" s="198">
        <f>SUM(L283:M283)</f>
        <v>0.96</v>
      </c>
      <c r="O283" s="199">
        <f>SUM(I283,N283)</f>
        <v>2.17</v>
      </c>
      <c r="P283" s="237" t="s">
        <v>537</v>
      </c>
      <c r="Q283" s="439" t="s">
        <v>517</v>
      </c>
      <c r="R283" s="439"/>
      <c r="S283" s="76"/>
      <c r="T283" s="22" t="s">
        <v>54</v>
      </c>
      <c r="U283" s="200">
        <f t="shared" si="295"/>
        <v>2.17</v>
      </c>
      <c r="V283" s="200">
        <f t="shared" si="296"/>
        <v>0.22</v>
      </c>
      <c r="W283" s="197">
        <f t="shared" si="297"/>
        <v>0.81</v>
      </c>
      <c r="X283" s="197">
        <f t="shared" si="298"/>
        <v>0</v>
      </c>
      <c r="Y283" s="197">
        <f t="shared" si="299"/>
        <v>0.04</v>
      </c>
      <c r="Z283" s="201">
        <f t="shared" si="300"/>
        <v>2.38</v>
      </c>
      <c r="AA283" s="202">
        <f t="shared" si="301"/>
        <v>5.62</v>
      </c>
      <c r="AB283" s="203">
        <f t="shared" si="302"/>
        <v>1.69</v>
      </c>
      <c r="AC283" s="204">
        <f t="shared" si="303"/>
        <v>7.3100000000000005</v>
      </c>
      <c r="AD283" s="205">
        <f t="shared" si="304"/>
        <v>0.38</v>
      </c>
      <c r="AE283" s="206">
        <f t="shared" si="305"/>
        <v>7.69</v>
      </c>
      <c r="AF283" s="88"/>
      <c r="AG283" s="237" t="s">
        <v>537</v>
      </c>
      <c r="AH283" s="439" t="s">
        <v>517</v>
      </c>
      <c r="AI283" s="439"/>
      <c r="AJ283" s="78" t="s">
        <v>41</v>
      </c>
      <c r="AK283" s="78"/>
      <c r="AL283" s="207">
        <f t="shared" si="281"/>
        <v>7.69</v>
      </c>
      <c r="AM283" s="207"/>
      <c r="AN283" s="207">
        <f t="shared" si="282"/>
        <v>5.41</v>
      </c>
      <c r="AO283" s="19"/>
      <c r="AP283" s="122"/>
      <c r="AQ283" s="245" t="s">
        <v>537</v>
      </c>
      <c r="AR283" s="440" t="s">
        <v>517</v>
      </c>
      <c r="AS283" s="440"/>
      <c r="AT283" s="252">
        <v>14</v>
      </c>
      <c r="AU283" s="256">
        <f t="shared" si="272"/>
        <v>0.0606</v>
      </c>
      <c r="AV283" s="254">
        <f t="shared" si="273"/>
        <v>0.85</v>
      </c>
      <c r="AW283" s="254">
        <f t="shared" si="274"/>
        <v>0</v>
      </c>
      <c r="AX283" s="254">
        <f t="shared" si="275"/>
        <v>0.85</v>
      </c>
      <c r="AY283" s="252">
        <v>14</v>
      </c>
      <c r="AZ283" s="256">
        <f t="shared" si="276"/>
        <v>0.0482</v>
      </c>
      <c r="BA283" s="254">
        <f t="shared" si="277"/>
        <v>0.67</v>
      </c>
      <c r="BB283" s="254">
        <f t="shared" si="278"/>
        <v>0</v>
      </c>
      <c r="BC283" s="254">
        <f t="shared" si="279"/>
        <v>0.67</v>
      </c>
      <c r="BD283" s="220">
        <f t="shared" si="280"/>
        <v>1.52</v>
      </c>
      <c r="BE283" s="245" t="s">
        <v>537</v>
      </c>
      <c r="BF283" s="440" t="s">
        <v>517</v>
      </c>
      <c r="BG283" s="440"/>
      <c r="BH283" s="136"/>
      <c r="BI283" s="200">
        <f t="shared" si="306"/>
        <v>1.52</v>
      </c>
      <c r="BJ283" s="200">
        <f t="shared" si="283"/>
        <v>0.16</v>
      </c>
      <c r="BK283" s="197">
        <f t="shared" si="307"/>
        <v>0.57</v>
      </c>
      <c r="BL283" s="197">
        <f t="shared" si="308"/>
        <v>0</v>
      </c>
      <c r="BM283" s="197">
        <f t="shared" si="309"/>
        <v>0.03</v>
      </c>
      <c r="BN283" s="201">
        <f t="shared" si="310"/>
        <v>1.67</v>
      </c>
      <c r="BO283" s="202">
        <f t="shared" si="311"/>
        <v>3.9499999999999997</v>
      </c>
      <c r="BP283" s="203">
        <f t="shared" si="284"/>
        <v>1.19</v>
      </c>
      <c r="BQ283" s="204">
        <f t="shared" si="312"/>
        <v>5.14</v>
      </c>
      <c r="BR283" s="205">
        <f t="shared" si="285"/>
        <v>0.27</v>
      </c>
      <c r="BS283" s="206">
        <f t="shared" si="313"/>
        <v>5.41</v>
      </c>
      <c r="BT283" s="88"/>
    </row>
    <row r="284" spans="1:115" ht="31.5" customHeight="1">
      <c r="A284" s="86"/>
      <c r="B284" s="237" t="s">
        <v>538</v>
      </c>
      <c r="C284" s="238" t="s">
        <v>539</v>
      </c>
      <c r="D284" s="78" t="s">
        <v>53</v>
      </c>
      <c r="E284" s="190">
        <v>10</v>
      </c>
      <c r="F284" s="214">
        <f>$G$16</f>
        <v>0.0606</v>
      </c>
      <c r="G284" s="197">
        <f>ROUND(E284*F284,2)</f>
        <v>0.61</v>
      </c>
      <c r="H284" s="197">
        <f>ROUND(G284*($A$16+$A$17)/100,2)</f>
        <v>0</v>
      </c>
      <c r="I284" s="198">
        <f>SUM(G284:H284)</f>
        <v>0.61</v>
      </c>
      <c r="J284" s="257">
        <v>20</v>
      </c>
      <c r="K284" s="214">
        <f>$G$19</f>
        <v>0.0482</v>
      </c>
      <c r="L284" s="197">
        <f>ROUND(J284*K284,2)</f>
        <v>0.96</v>
      </c>
      <c r="M284" s="197">
        <f>ROUND(L284*($A$16+$A$17)/100,2)</f>
        <v>0</v>
      </c>
      <c r="N284" s="198">
        <f>SUM(L284:M284)</f>
        <v>0.96</v>
      </c>
      <c r="O284" s="199">
        <f>SUM(I284,N284)</f>
        <v>1.5699999999999998</v>
      </c>
      <c r="P284" s="237" t="s">
        <v>538</v>
      </c>
      <c r="Q284" s="439" t="s">
        <v>539</v>
      </c>
      <c r="R284" s="439"/>
      <c r="S284" s="79"/>
      <c r="T284" s="22" t="s">
        <v>54</v>
      </c>
      <c r="U284" s="200">
        <f t="shared" si="295"/>
        <v>1.5699999999999998</v>
      </c>
      <c r="V284" s="200">
        <f t="shared" si="296"/>
        <v>0.16</v>
      </c>
      <c r="W284" s="197">
        <f t="shared" si="297"/>
        <v>0.59</v>
      </c>
      <c r="X284" s="197">
        <f t="shared" si="298"/>
        <v>0</v>
      </c>
      <c r="Y284" s="197">
        <f t="shared" si="299"/>
        <v>0.03</v>
      </c>
      <c r="Z284" s="201">
        <f t="shared" si="300"/>
        <v>1.72</v>
      </c>
      <c r="AA284" s="202">
        <f t="shared" si="301"/>
        <v>4.069999999999999</v>
      </c>
      <c r="AB284" s="203">
        <f t="shared" si="302"/>
        <v>1.22</v>
      </c>
      <c r="AC284" s="204">
        <f t="shared" si="303"/>
        <v>5.289999999999999</v>
      </c>
      <c r="AD284" s="205">
        <f t="shared" si="304"/>
        <v>0.28</v>
      </c>
      <c r="AE284" s="206">
        <f t="shared" si="305"/>
        <v>5.569999999999999</v>
      </c>
      <c r="AF284" s="88"/>
      <c r="AG284" s="237" t="s">
        <v>538</v>
      </c>
      <c r="AH284" s="439" t="s">
        <v>539</v>
      </c>
      <c r="AI284" s="439"/>
      <c r="AJ284" s="78" t="s">
        <v>41</v>
      </c>
      <c r="AK284" s="79"/>
      <c r="AL284" s="207">
        <f t="shared" si="281"/>
        <v>5.569999999999999</v>
      </c>
      <c r="AM284" s="207"/>
      <c r="AN284" s="207">
        <f t="shared" si="282"/>
        <v>3.3400000000000003</v>
      </c>
      <c r="AO284" s="79">
        <f>ROUND(AN284*$AE$8,0)</f>
        <v>0</v>
      </c>
      <c r="AP284" s="121"/>
      <c r="AQ284" s="237" t="s">
        <v>538</v>
      </c>
      <c r="AR284" s="439" t="s">
        <v>539</v>
      </c>
      <c r="AS284" s="439"/>
      <c r="AT284" s="119">
        <v>6</v>
      </c>
      <c r="AU284" s="214">
        <f t="shared" si="272"/>
        <v>0.0606</v>
      </c>
      <c r="AV284" s="269">
        <f t="shared" si="273"/>
        <v>0.36</v>
      </c>
      <c r="AW284" s="269">
        <f t="shared" si="274"/>
        <v>0</v>
      </c>
      <c r="AX284" s="198">
        <f t="shared" si="275"/>
        <v>0.36</v>
      </c>
      <c r="AY284" s="29">
        <v>12</v>
      </c>
      <c r="AZ284" s="214">
        <f t="shared" si="276"/>
        <v>0.0482</v>
      </c>
      <c r="BA284" s="269">
        <f t="shared" si="277"/>
        <v>0.58</v>
      </c>
      <c r="BB284" s="269">
        <f t="shared" si="278"/>
        <v>0</v>
      </c>
      <c r="BC284" s="198">
        <f t="shared" si="279"/>
        <v>0.58</v>
      </c>
      <c r="BD284" s="199">
        <f t="shared" si="280"/>
        <v>0.94</v>
      </c>
      <c r="BE284" s="237" t="s">
        <v>538</v>
      </c>
      <c r="BF284" s="439" t="s">
        <v>539</v>
      </c>
      <c r="BG284" s="439"/>
      <c r="BH284" s="136"/>
      <c r="BI284" s="200">
        <f t="shared" si="306"/>
        <v>0.94</v>
      </c>
      <c r="BJ284" s="200">
        <f t="shared" si="283"/>
        <v>0.1</v>
      </c>
      <c r="BK284" s="197">
        <f t="shared" si="307"/>
        <v>0.35</v>
      </c>
      <c r="BL284" s="197">
        <f t="shared" si="308"/>
        <v>0</v>
      </c>
      <c r="BM284" s="197">
        <f t="shared" si="309"/>
        <v>0.02</v>
      </c>
      <c r="BN284" s="201">
        <f t="shared" si="310"/>
        <v>1.03</v>
      </c>
      <c r="BO284" s="202">
        <f t="shared" si="311"/>
        <v>2.4400000000000004</v>
      </c>
      <c r="BP284" s="203">
        <f t="shared" si="284"/>
        <v>0.73</v>
      </c>
      <c r="BQ284" s="204">
        <f t="shared" si="312"/>
        <v>3.1700000000000004</v>
      </c>
      <c r="BR284" s="205">
        <f t="shared" si="285"/>
        <v>0.17</v>
      </c>
      <c r="BS284" s="206">
        <f t="shared" si="313"/>
        <v>3.3400000000000003</v>
      </c>
      <c r="BT284" s="22"/>
      <c r="BU284" s="29"/>
      <c r="BV284" s="79"/>
      <c r="BW284" s="79"/>
      <c r="BX284" s="98"/>
      <c r="BY284" s="78"/>
      <c r="BZ284" s="29"/>
      <c r="CA284" s="79"/>
      <c r="CB284" s="79"/>
      <c r="CC284" s="99"/>
      <c r="CN284" s="81">
        <f>ROUND(BX284+CC284+CH284+CM284,0)</f>
        <v>0</v>
      </c>
      <c r="CS284" s="100">
        <f>A284</f>
        <v>0</v>
      </c>
      <c r="CT284" s="101" t="str">
        <f>B284</f>
        <v>6.3.1.20.</v>
      </c>
      <c r="CU284" s="83" t="str">
        <f>C284</f>
        <v>определение наличия микроорганизмов семейства Enterobacteriaceae в определенном количестве образца</v>
      </c>
      <c r="CW284" s="78">
        <f>AF284</f>
        <v>0</v>
      </c>
      <c r="CY284" s="79">
        <f>CN284</f>
        <v>0</v>
      </c>
      <c r="CZ284" s="79">
        <f>ROUND(CY284*$AE$6,0)</f>
        <v>0</v>
      </c>
      <c r="DA284" s="79">
        <f>ROUND((CY284+CZ284)*($AN$5+$AN$6+$AN$8),0)</f>
        <v>0</v>
      </c>
      <c r="DB284" s="79">
        <f>ROUND(CY284*$AE$7,0)</f>
        <v>0</v>
      </c>
      <c r="DE284" s="82">
        <f>ROUND(DB284+DA284+CZ284+CY284,0)</f>
        <v>0</v>
      </c>
      <c r="DF284" s="79">
        <f>ROUND(DE284*$AE$8,0)</f>
        <v>0</v>
      </c>
      <c r="DG284" s="79">
        <f>ROUND(DE284+DF284,0)</f>
        <v>0</v>
      </c>
      <c r="DH284" s="79">
        <f>ROUND(DG284*$AU$5/(100-$AU$5),0)</f>
        <v>0</v>
      </c>
      <c r="DI284" s="81">
        <f>ROUND(DH284+DG284,0)</f>
        <v>0</v>
      </c>
      <c r="DJ284" s="79">
        <f>ROUND(DI284*$AU$6,0)</f>
        <v>0</v>
      </c>
      <c r="DK284" s="81">
        <f>DJ284+DI284</f>
        <v>0</v>
      </c>
    </row>
    <row r="285" spans="1:72" ht="34.5" customHeight="1">
      <c r="A285" s="88"/>
      <c r="B285" s="237" t="s">
        <v>540</v>
      </c>
      <c r="C285" s="238" t="s">
        <v>541</v>
      </c>
      <c r="D285" s="78" t="s">
        <v>53</v>
      </c>
      <c r="E285" s="190">
        <v>10</v>
      </c>
      <c r="F285" s="214">
        <f>$G$16</f>
        <v>0.0606</v>
      </c>
      <c r="G285" s="197">
        <f>ROUND(E285*F285,2)</f>
        <v>0.61</v>
      </c>
      <c r="H285" s="197">
        <f>ROUND(G285*($A$16+$A$17)/100,2)</f>
        <v>0</v>
      </c>
      <c r="I285" s="198">
        <f>SUM(G285:H285)</f>
        <v>0.61</v>
      </c>
      <c r="J285" s="257">
        <v>20</v>
      </c>
      <c r="K285" s="214">
        <f>$G$19</f>
        <v>0.0482</v>
      </c>
      <c r="L285" s="197">
        <f>ROUND(J285*K285,2)</f>
        <v>0.96</v>
      </c>
      <c r="M285" s="197">
        <f>ROUND(L285*($A$16+$A$17)/100,2)</f>
        <v>0</v>
      </c>
      <c r="N285" s="198">
        <f>SUM(L285:M285)</f>
        <v>0.96</v>
      </c>
      <c r="O285" s="199">
        <f>SUM(I285,N285)</f>
        <v>1.5699999999999998</v>
      </c>
      <c r="P285" s="237" t="s">
        <v>540</v>
      </c>
      <c r="Q285" s="439" t="s">
        <v>541</v>
      </c>
      <c r="R285" s="439"/>
      <c r="S285" s="76"/>
      <c r="T285" s="22" t="s">
        <v>54</v>
      </c>
      <c r="U285" s="200">
        <f t="shared" si="295"/>
        <v>1.5699999999999998</v>
      </c>
      <c r="V285" s="200">
        <f t="shared" si="296"/>
        <v>0.16</v>
      </c>
      <c r="W285" s="197">
        <f t="shared" si="297"/>
        <v>0.59</v>
      </c>
      <c r="X285" s="197">
        <f t="shared" si="298"/>
        <v>0</v>
      </c>
      <c r="Y285" s="197">
        <f t="shared" si="299"/>
        <v>0.03</v>
      </c>
      <c r="Z285" s="201">
        <f t="shared" si="300"/>
        <v>1.72</v>
      </c>
      <c r="AA285" s="202">
        <f t="shared" si="301"/>
        <v>4.069999999999999</v>
      </c>
      <c r="AB285" s="203">
        <f t="shared" si="302"/>
        <v>1.22</v>
      </c>
      <c r="AC285" s="204">
        <f t="shared" si="303"/>
        <v>5.289999999999999</v>
      </c>
      <c r="AD285" s="205">
        <f t="shared" si="304"/>
        <v>0.28</v>
      </c>
      <c r="AE285" s="206">
        <f t="shared" si="305"/>
        <v>5.569999999999999</v>
      </c>
      <c r="AF285" s="88"/>
      <c r="AG285" s="237" t="s">
        <v>540</v>
      </c>
      <c r="AH285" s="439" t="s">
        <v>541</v>
      </c>
      <c r="AI285" s="439"/>
      <c r="AJ285" s="78" t="s">
        <v>41</v>
      </c>
      <c r="AK285" s="78"/>
      <c r="AL285" s="207">
        <f t="shared" si="281"/>
        <v>5.569999999999999</v>
      </c>
      <c r="AM285" s="207"/>
      <c r="AN285" s="207">
        <f t="shared" si="282"/>
        <v>3.3400000000000003</v>
      </c>
      <c r="AO285" s="19"/>
      <c r="AP285" s="122"/>
      <c r="AQ285" s="237" t="s">
        <v>540</v>
      </c>
      <c r="AR285" s="439" t="s">
        <v>541</v>
      </c>
      <c r="AS285" s="439"/>
      <c r="AT285" s="119">
        <v>6</v>
      </c>
      <c r="AU285" s="214">
        <f t="shared" si="272"/>
        <v>0.0606</v>
      </c>
      <c r="AV285" s="269">
        <f t="shared" si="273"/>
        <v>0.36</v>
      </c>
      <c r="AW285" s="269">
        <f t="shared" si="274"/>
        <v>0</v>
      </c>
      <c r="AX285" s="198">
        <f t="shared" si="275"/>
        <v>0.36</v>
      </c>
      <c r="AY285" s="29">
        <v>12</v>
      </c>
      <c r="AZ285" s="214">
        <f t="shared" si="276"/>
        <v>0.0482</v>
      </c>
      <c r="BA285" s="269">
        <f t="shared" si="277"/>
        <v>0.58</v>
      </c>
      <c r="BB285" s="269">
        <f t="shared" si="278"/>
        <v>0</v>
      </c>
      <c r="BC285" s="198">
        <f t="shared" si="279"/>
        <v>0.58</v>
      </c>
      <c r="BD285" s="199">
        <f t="shared" si="280"/>
        <v>0.94</v>
      </c>
      <c r="BE285" s="237" t="s">
        <v>540</v>
      </c>
      <c r="BF285" s="439" t="s">
        <v>541</v>
      </c>
      <c r="BG285" s="439"/>
      <c r="BH285" s="136"/>
      <c r="BI285" s="200">
        <f t="shared" si="306"/>
        <v>0.94</v>
      </c>
      <c r="BJ285" s="200">
        <f t="shared" si="283"/>
        <v>0.1</v>
      </c>
      <c r="BK285" s="197">
        <f t="shared" si="307"/>
        <v>0.35</v>
      </c>
      <c r="BL285" s="197">
        <f t="shared" si="308"/>
        <v>0</v>
      </c>
      <c r="BM285" s="197">
        <f t="shared" si="309"/>
        <v>0.02</v>
      </c>
      <c r="BN285" s="201">
        <f t="shared" si="310"/>
        <v>1.03</v>
      </c>
      <c r="BO285" s="202">
        <f t="shared" si="311"/>
        <v>2.4400000000000004</v>
      </c>
      <c r="BP285" s="203">
        <f t="shared" si="284"/>
        <v>0.73</v>
      </c>
      <c r="BQ285" s="204">
        <f t="shared" si="312"/>
        <v>3.1700000000000004</v>
      </c>
      <c r="BR285" s="205">
        <f t="shared" si="285"/>
        <v>0.17</v>
      </c>
      <c r="BS285" s="206">
        <f t="shared" si="313"/>
        <v>3.3400000000000003</v>
      </c>
      <c r="BT285" s="88"/>
    </row>
    <row r="286" spans="1:72" ht="20.25" customHeight="1">
      <c r="A286" s="24"/>
      <c r="B286" s="233" t="s">
        <v>548</v>
      </c>
      <c r="C286" s="234" t="s">
        <v>549</v>
      </c>
      <c r="D286" s="251"/>
      <c r="E286" s="255"/>
      <c r="F286" s="256"/>
      <c r="G286" s="253"/>
      <c r="H286" s="253"/>
      <c r="I286" s="254"/>
      <c r="J286" s="255"/>
      <c r="K286" s="255"/>
      <c r="L286" s="253"/>
      <c r="M286" s="253"/>
      <c r="N286" s="254"/>
      <c r="O286" s="220"/>
      <c r="P286" s="233" t="s">
        <v>548</v>
      </c>
      <c r="Q286" s="442" t="s">
        <v>549</v>
      </c>
      <c r="R286" s="442"/>
      <c r="S286" s="76"/>
      <c r="T286" s="219"/>
      <c r="U286" s="253"/>
      <c r="V286" s="253"/>
      <c r="W286" s="253"/>
      <c r="X286" s="253"/>
      <c r="Y286" s="253"/>
      <c r="Z286" s="253"/>
      <c r="AA286" s="253"/>
      <c r="AB286" s="253"/>
      <c r="AC286" s="253"/>
      <c r="AD286" s="253"/>
      <c r="AE286" s="220"/>
      <c r="AF286" s="24"/>
      <c r="AG286" s="233" t="s">
        <v>548</v>
      </c>
      <c r="AH286" s="442" t="s">
        <v>549</v>
      </c>
      <c r="AI286" s="442"/>
      <c r="AJ286" s="78"/>
      <c r="AK286" s="78"/>
      <c r="AL286" s="207"/>
      <c r="AM286" s="207"/>
      <c r="AN286" s="207"/>
      <c r="AO286" s="19"/>
      <c r="AP286" s="118"/>
      <c r="AQ286" s="233" t="s">
        <v>548</v>
      </c>
      <c r="AR286" s="442" t="s">
        <v>549</v>
      </c>
      <c r="AS286" s="442"/>
      <c r="AT286" s="119"/>
      <c r="AU286" s="256"/>
      <c r="AV286" s="254"/>
      <c r="AW286" s="254"/>
      <c r="AX286" s="254"/>
      <c r="AY286" s="252"/>
      <c r="AZ286" s="256"/>
      <c r="BA286" s="254"/>
      <c r="BB286" s="254"/>
      <c r="BC286" s="254"/>
      <c r="BD286" s="220"/>
      <c r="BE286" s="233" t="s">
        <v>548</v>
      </c>
      <c r="BF286" s="442" t="s">
        <v>549</v>
      </c>
      <c r="BG286" s="442"/>
      <c r="BH286" s="136"/>
      <c r="BI286" s="253"/>
      <c r="BJ286" s="253"/>
      <c r="BK286" s="253"/>
      <c r="BL286" s="253"/>
      <c r="BM286" s="253"/>
      <c r="BN286" s="253"/>
      <c r="BO286" s="253"/>
      <c r="BP286" s="253"/>
      <c r="BQ286" s="253"/>
      <c r="BR286" s="253"/>
      <c r="BS286" s="220"/>
      <c r="BT286" s="24"/>
    </row>
    <row r="287" spans="1:72" ht="17.25" customHeight="1">
      <c r="A287" s="24"/>
      <c r="B287" s="237" t="s">
        <v>550</v>
      </c>
      <c r="C287" s="238" t="s">
        <v>545</v>
      </c>
      <c r="D287" s="78" t="s">
        <v>53</v>
      </c>
      <c r="E287" s="190">
        <v>5</v>
      </c>
      <c r="F287" s="214">
        <f>$G$16</f>
        <v>0.0606</v>
      </c>
      <c r="G287" s="197">
        <f>ROUND(E287*F287,2)</f>
        <v>0.3</v>
      </c>
      <c r="H287" s="197">
        <f>ROUND(G287*($A$16+$A$17)/100,2)</f>
        <v>0</v>
      </c>
      <c r="I287" s="198">
        <f>SUM(G287:H287)</f>
        <v>0.3</v>
      </c>
      <c r="J287" s="257">
        <v>9</v>
      </c>
      <c r="K287" s="214">
        <f>$G$19</f>
        <v>0.0482</v>
      </c>
      <c r="L287" s="197">
        <f>ROUND(J287*K287,2)</f>
        <v>0.43</v>
      </c>
      <c r="M287" s="197">
        <f>ROUND(L287*($A$16+$A$17)/100,2)</f>
        <v>0</v>
      </c>
      <c r="N287" s="198">
        <f>SUM(L287:M287)</f>
        <v>0.43</v>
      </c>
      <c r="O287" s="199">
        <f>SUM(I287,N287)</f>
        <v>0.73</v>
      </c>
      <c r="P287" s="237" t="s">
        <v>550</v>
      </c>
      <c r="Q287" s="439" t="s">
        <v>545</v>
      </c>
      <c r="R287" s="439"/>
      <c r="S287" s="76"/>
      <c r="T287" s="22" t="s">
        <v>54</v>
      </c>
      <c r="U287" s="200">
        <f t="shared" si="295"/>
        <v>0.73</v>
      </c>
      <c r="V287" s="200">
        <f t="shared" si="296"/>
        <v>0.08</v>
      </c>
      <c r="W287" s="197">
        <f t="shared" si="297"/>
        <v>0.28</v>
      </c>
      <c r="X287" s="197">
        <f t="shared" si="298"/>
        <v>0</v>
      </c>
      <c r="Y287" s="197">
        <f t="shared" si="299"/>
        <v>0.01</v>
      </c>
      <c r="Z287" s="201">
        <f t="shared" si="300"/>
        <v>0.8</v>
      </c>
      <c r="AA287" s="202">
        <f t="shared" si="301"/>
        <v>1.9</v>
      </c>
      <c r="AB287" s="203">
        <f t="shared" si="302"/>
        <v>0.57</v>
      </c>
      <c r="AC287" s="204">
        <f t="shared" si="303"/>
        <v>2.4699999999999998</v>
      </c>
      <c r="AD287" s="205">
        <f t="shared" si="304"/>
        <v>0.13</v>
      </c>
      <c r="AE287" s="206">
        <f t="shared" si="305"/>
        <v>2.5999999999999996</v>
      </c>
      <c r="AF287" s="24"/>
      <c r="AG287" s="237" t="s">
        <v>550</v>
      </c>
      <c r="AH287" s="439" t="s">
        <v>545</v>
      </c>
      <c r="AI287" s="439"/>
      <c r="AJ287" s="78"/>
      <c r="AK287" s="78"/>
      <c r="AL287" s="207">
        <f t="shared" si="281"/>
        <v>2.5999999999999996</v>
      </c>
      <c r="AM287" s="207"/>
      <c r="AN287" s="207">
        <f t="shared" si="282"/>
        <v>1.4900000000000002</v>
      </c>
      <c r="AO287" s="19"/>
      <c r="AP287" s="118"/>
      <c r="AQ287" s="237" t="s">
        <v>550</v>
      </c>
      <c r="AR287" s="439" t="s">
        <v>545</v>
      </c>
      <c r="AS287" s="439"/>
      <c r="AT287" s="119">
        <v>3</v>
      </c>
      <c r="AU287" s="214">
        <f t="shared" si="272"/>
        <v>0.0606</v>
      </c>
      <c r="AV287" s="269">
        <f t="shared" si="273"/>
        <v>0.18</v>
      </c>
      <c r="AW287" s="269">
        <f t="shared" si="274"/>
        <v>0</v>
      </c>
      <c r="AX287" s="198">
        <f t="shared" si="275"/>
        <v>0.18</v>
      </c>
      <c r="AY287" s="29">
        <v>5</v>
      </c>
      <c r="AZ287" s="214">
        <f t="shared" si="276"/>
        <v>0.0482</v>
      </c>
      <c r="BA287" s="269">
        <f t="shared" si="277"/>
        <v>0.24</v>
      </c>
      <c r="BB287" s="269">
        <f t="shared" si="278"/>
        <v>0</v>
      </c>
      <c r="BC287" s="198">
        <f t="shared" si="279"/>
        <v>0.24</v>
      </c>
      <c r="BD287" s="199">
        <f t="shared" si="280"/>
        <v>0.42</v>
      </c>
      <c r="BE287" s="237" t="s">
        <v>550</v>
      </c>
      <c r="BF287" s="439" t="s">
        <v>545</v>
      </c>
      <c r="BG287" s="439"/>
      <c r="BH287" s="136"/>
      <c r="BI287" s="200">
        <f t="shared" si="306"/>
        <v>0.42</v>
      </c>
      <c r="BJ287" s="200">
        <f t="shared" si="283"/>
        <v>0.04</v>
      </c>
      <c r="BK287" s="197">
        <f t="shared" si="307"/>
        <v>0.16</v>
      </c>
      <c r="BL287" s="197">
        <f t="shared" si="308"/>
        <v>0</v>
      </c>
      <c r="BM287" s="197">
        <f t="shared" si="309"/>
        <v>0.01</v>
      </c>
      <c r="BN287" s="201">
        <f t="shared" si="310"/>
        <v>0.46</v>
      </c>
      <c r="BO287" s="202">
        <f t="shared" si="311"/>
        <v>1.09</v>
      </c>
      <c r="BP287" s="203">
        <f t="shared" si="284"/>
        <v>0.33</v>
      </c>
      <c r="BQ287" s="204">
        <f t="shared" si="312"/>
        <v>1.4200000000000002</v>
      </c>
      <c r="BR287" s="205">
        <f t="shared" si="285"/>
        <v>0.07</v>
      </c>
      <c r="BS287" s="206">
        <f t="shared" si="313"/>
        <v>1.4900000000000002</v>
      </c>
      <c r="BT287" s="24"/>
    </row>
    <row r="288" spans="1:72" ht="27" customHeight="1">
      <c r="A288" s="84"/>
      <c r="B288" s="237" t="s">
        <v>551</v>
      </c>
      <c r="C288" s="238" t="s">
        <v>547</v>
      </c>
      <c r="D288" s="78" t="s">
        <v>53</v>
      </c>
      <c r="E288" s="190">
        <v>7</v>
      </c>
      <c r="F288" s="214">
        <f>$G$16</f>
        <v>0.0606</v>
      </c>
      <c r="G288" s="197">
        <f>ROUND(E288*F288,2)</f>
        <v>0.42</v>
      </c>
      <c r="H288" s="197">
        <f>ROUND(G288*($A$16+$A$17)/100,2)</f>
        <v>0</v>
      </c>
      <c r="I288" s="198">
        <f>SUM(G288:H288)</f>
        <v>0.42</v>
      </c>
      <c r="J288" s="257">
        <v>14</v>
      </c>
      <c r="K288" s="214">
        <f>$G$19</f>
        <v>0.0482</v>
      </c>
      <c r="L288" s="197">
        <f>ROUND(J288*K288,2)</f>
        <v>0.67</v>
      </c>
      <c r="M288" s="197">
        <f>ROUND(L288*($A$16+$A$17)/100,2)</f>
        <v>0</v>
      </c>
      <c r="N288" s="198">
        <f>SUM(L288:M288)</f>
        <v>0.67</v>
      </c>
      <c r="O288" s="199">
        <f>SUM(I288,N288)</f>
        <v>1.09</v>
      </c>
      <c r="P288" s="237" t="s">
        <v>551</v>
      </c>
      <c r="Q288" s="439" t="s">
        <v>547</v>
      </c>
      <c r="R288" s="439"/>
      <c r="S288" s="76"/>
      <c r="T288" s="22" t="s">
        <v>54</v>
      </c>
      <c r="U288" s="200">
        <f t="shared" si="295"/>
        <v>1.09</v>
      </c>
      <c r="V288" s="200">
        <f t="shared" si="296"/>
        <v>0.11</v>
      </c>
      <c r="W288" s="197">
        <f t="shared" si="297"/>
        <v>0.41</v>
      </c>
      <c r="X288" s="197">
        <f t="shared" si="298"/>
        <v>0</v>
      </c>
      <c r="Y288" s="197">
        <f t="shared" si="299"/>
        <v>0.02</v>
      </c>
      <c r="Z288" s="201">
        <f t="shared" si="300"/>
        <v>1.2</v>
      </c>
      <c r="AA288" s="202">
        <f t="shared" si="301"/>
        <v>2.83</v>
      </c>
      <c r="AB288" s="203">
        <f t="shared" si="302"/>
        <v>0.85</v>
      </c>
      <c r="AC288" s="204">
        <f t="shared" si="303"/>
        <v>3.68</v>
      </c>
      <c r="AD288" s="205">
        <f t="shared" si="304"/>
        <v>0.19</v>
      </c>
      <c r="AE288" s="206">
        <f t="shared" si="305"/>
        <v>3.87</v>
      </c>
      <c r="AF288" s="84"/>
      <c r="AG288" s="237" t="s">
        <v>551</v>
      </c>
      <c r="AH288" s="439" t="s">
        <v>547</v>
      </c>
      <c r="AI288" s="439"/>
      <c r="AJ288" s="78" t="s">
        <v>37</v>
      </c>
      <c r="AK288" s="78"/>
      <c r="AL288" s="207">
        <f t="shared" si="281"/>
        <v>3.87</v>
      </c>
      <c r="AM288" s="207"/>
      <c r="AN288" s="207">
        <f t="shared" si="282"/>
        <v>2.77</v>
      </c>
      <c r="AO288" s="19"/>
      <c r="AP288" s="120"/>
      <c r="AQ288" s="237" t="s">
        <v>551</v>
      </c>
      <c r="AR288" s="439" t="s">
        <v>547</v>
      </c>
      <c r="AS288" s="439"/>
      <c r="AT288" s="119">
        <v>5</v>
      </c>
      <c r="AU288" s="214">
        <f>$AV$16</f>
        <v>0.0606</v>
      </c>
      <c r="AV288" s="269">
        <f t="shared" si="273"/>
        <v>0.3</v>
      </c>
      <c r="AW288" s="269">
        <f t="shared" si="274"/>
        <v>0</v>
      </c>
      <c r="AX288" s="198">
        <f t="shared" si="275"/>
        <v>0.3</v>
      </c>
      <c r="AY288" s="29">
        <v>10</v>
      </c>
      <c r="AZ288" s="214">
        <f>$AV$19</f>
        <v>0.0482</v>
      </c>
      <c r="BA288" s="269">
        <f t="shared" si="277"/>
        <v>0.48</v>
      </c>
      <c r="BB288" s="269">
        <f t="shared" si="278"/>
        <v>0</v>
      </c>
      <c r="BC288" s="198">
        <f t="shared" si="279"/>
        <v>0.48</v>
      </c>
      <c r="BD288" s="199">
        <f t="shared" si="280"/>
        <v>0.78</v>
      </c>
      <c r="BE288" s="237" t="s">
        <v>551</v>
      </c>
      <c r="BF288" s="439" t="s">
        <v>547</v>
      </c>
      <c r="BG288" s="439"/>
      <c r="BH288" s="136"/>
      <c r="BI288" s="200">
        <f t="shared" si="306"/>
        <v>0.78</v>
      </c>
      <c r="BJ288" s="200">
        <f t="shared" si="283"/>
        <v>0.08</v>
      </c>
      <c r="BK288" s="197">
        <f t="shared" si="307"/>
        <v>0.29</v>
      </c>
      <c r="BL288" s="197">
        <f t="shared" si="308"/>
        <v>0</v>
      </c>
      <c r="BM288" s="197">
        <f t="shared" si="309"/>
        <v>0.01</v>
      </c>
      <c r="BN288" s="201">
        <f t="shared" si="310"/>
        <v>0.86</v>
      </c>
      <c r="BO288" s="202">
        <f t="shared" si="311"/>
        <v>2.02</v>
      </c>
      <c r="BP288" s="203">
        <f t="shared" si="284"/>
        <v>0.61</v>
      </c>
      <c r="BQ288" s="204">
        <f t="shared" si="312"/>
        <v>2.63</v>
      </c>
      <c r="BR288" s="205">
        <f t="shared" si="285"/>
        <v>0.14</v>
      </c>
      <c r="BS288" s="206">
        <f t="shared" si="313"/>
        <v>2.77</v>
      </c>
      <c r="BT288" s="84"/>
    </row>
    <row r="289" spans="1:72" ht="19.5" customHeight="1">
      <c r="A289" s="84"/>
      <c r="B289" s="237" t="s">
        <v>552</v>
      </c>
      <c r="C289" s="238" t="s">
        <v>553</v>
      </c>
      <c r="D289" s="78" t="s">
        <v>53</v>
      </c>
      <c r="E289" s="190">
        <v>5</v>
      </c>
      <c r="F289" s="214">
        <f>$G$16</f>
        <v>0.0606</v>
      </c>
      <c r="G289" s="197">
        <f>ROUND(E289*F289,2)</f>
        <v>0.3</v>
      </c>
      <c r="H289" s="197">
        <f>ROUND(G289*($A$16+$A$17)/100,2)</f>
        <v>0</v>
      </c>
      <c r="I289" s="198">
        <f>SUM(G289:H289)</f>
        <v>0.3</v>
      </c>
      <c r="J289" s="257">
        <v>7</v>
      </c>
      <c r="K289" s="214">
        <f>$G$19</f>
        <v>0.0482</v>
      </c>
      <c r="L289" s="197">
        <f>ROUND(J289*K289,2)</f>
        <v>0.34</v>
      </c>
      <c r="M289" s="197">
        <f>ROUND(L289*($A$16+$A$17)/100,2)</f>
        <v>0</v>
      </c>
      <c r="N289" s="198">
        <f>SUM(L289:M289)</f>
        <v>0.34</v>
      </c>
      <c r="O289" s="199">
        <f>SUM(I289,N289)</f>
        <v>0.64</v>
      </c>
      <c r="P289" s="237" t="s">
        <v>552</v>
      </c>
      <c r="Q289" s="439" t="s">
        <v>553</v>
      </c>
      <c r="R289" s="439"/>
      <c r="S289" s="76"/>
      <c r="T289" s="22" t="s">
        <v>54</v>
      </c>
      <c r="U289" s="200">
        <f t="shared" si="295"/>
        <v>0.64</v>
      </c>
      <c r="V289" s="200">
        <f t="shared" si="296"/>
        <v>0.07</v>
      </c>
      <c r="W289" s="197">
        <f t="shared" si="297"/>
        <v>0.24</v>
      </c>
      <c r="X289" s="197">
        <f t="shared" si="298"/>
        <v>0</v>
      </c>
      <c r="Y289" s="197">
        <f t="shared" si="299"/>
        <v>0.01</v>
      </c>
      <c r="Z289" s="201">
        <f t="shared" si="300"/>
        <v>0.7</v>
      </c>
      <c r="AA289" s="202">
        <f t="shared" si="301"/>
        <v>1.66</v>
      </c>
      <c r="AB289" s="203">
        <f t="shared" si="302"/>
        <v>0.5</v>
      </c>
      <c r="AC289" s="204">
        <f t="shared" si="303"/>
        <v>2.16</v>
      </c>
      <c r="AD289" s="205">
        <f t="shared" si="304"/>
        <v>0.11</v>
      </c>
      <c r="AE289" s="206">
        <f t="shared" si="305"/>
        <v>2.27</v>
      </c>
      <c r="AF289" s="84"/>
      <c r="AG289" s="237" t="s">
        <v>552</v>
      </c>
      <c r="AH289" s="439" t="s">
        <v>553</v>
      </c>
      <c r="AI289" s="439"/>
      <c r="AJ289" s="78" t="s">
        <v>37</v>
      </c>
      <c r="AK289" s="78"/>
      <c r="AL289" s="207">
        <f t="shared" si="281"/>
        <v>2.27</v>
      </c>
      <c r="AM289" s="207"/>
      <c r="AN289" s="207">
        <f t="shared" si="282"/>
        <v>1.33</v>
      </c>
      <c r="AO289" s="19"/>
      <c r="AP289" s="120"/>
      <c r="AQ289" s="237" t="s">
        <v>552</v>
      </c>
      <c r="AR289" s="439" t="s">
        <v>553</v>
      </c>
      <c r="AS289" s="439"/>
      <c r="AT289" s="119">
        <v>3</v>
      </c>
      <c r="AU289" s="214">
        <f>$AV$16</f>
        <v>0.0606</v>
      </c>
      <c r="AV289" s="269">
        <f t="shared" si="273"/>
        <v>0.18</v>
      </c>
      <c r="AW289" s="269">
        <f t="shared" si="274"/>
        <v>0</v>
      </c>
      <c r="AX289" s="198">
        <f t="shared" si="275"/>
        <v>0.18</v>
      </c>
      <c r="AY289" s="29">
        <v>4</v>
      </c>
      <c r="AZ289" s="214">
        <f>$AV$19</f>
        <v>0.0482</v>
      </c>
      <c r="BA289" s="269">
        <f t="shared" si="277"/>
        <v>0.19</v>
      </c>
      <c r="BB289" s="269">
        <f t="shared" si="278"/>
        <v>0</v>
      </c>
      <c r="BC289" s="198">
        <f t="shared" si="279"/>
        <v>0.19</v>
      </c>
      <c r="BD289" s="199">
        <f t="shared" si="280"/>
        <v>0.37</v>
      </c>
      <c r="BE289" s="237" t="s">
        <v>552</v>
      </c>
      <c r="BF289" s="439" t="s">
        <v>553</v>
      </c>
      <c r="BG289" s="439"/>
      <c r="BH289" s="136"/>
      <c r="BI289" s="200">
        <f t="shared" si="306"/>
        <v>0.37</v>
      </c>
      <c r="BJ289" s="200">
        <f t="shared" si="283"/>
        <v>0.04</v>
      </c>
      <c r="BK289" s="197">
        <f t="shared" si="307"/>
        <v>0.14</v>
      </c>
      <c r="BL289" s="197">
        <f t="shared" si="308"/>
        <v>0</v>
      </c>
      <c r="BM289" s="197">
        <f t="shared" si="309"/>
        <v>0.01</v>
      </c>
      <c r="BN289" s="201">
        <f t="shared" si="310"/>
        <v>0.41</v>
      </c>
      <c r="BO289" s="202">
        <f t="shared" si="311"/>
        <v>0.97</v>
      </c>
      <c r="BP289" s="203">
        <f t="shared" si="284"/>
        <v>0.29</v>
      </c>
      <c r="BQ289" s="204">
        <f t="shared" si="312"/>
        <v>1.26</v>
      </c>
      <c r="BR289" s="205">
        <f t="shared" si="285"/>
        <v>0.07</v>
      </c>
      <c r="BS289" s="206">
        <f t="shared" si="313"/>
        <v>1.33</v>
      </c>
      <c r="BT289" s="84"/>
    </row>
    <row r="290" spans="1:72" ht="15.75" customHeight="1">
      <c r="A290" s="84"/>
      <c r="B290" s="237" t="s">
        <v>1027</v>
      </c>
      <c r="C290" s="282" t="s">
        <v>1028</v>
      </c>
      <c r="D290" s="78" t="s">
        <v>53</v>
      </c>
      <c r="E290" s="190">
        <v>7</v>
      </c>
      <c r="F290" s="214">
        <f>$G$16</f>
        <v>0.0606</v>
      </c>
      <c r="G290" s="197">
        <f>ROUND(E290*F290,2)</f>
        <v>0.42</v>
      </c>
      <c r="H290" s="197">
        <f>ROUND(G290*($A$16+$A$17)/100,2)</f>
        <v>0</v>
      </c>
      <c r="I290" s="198">
        <f>SUM(G290:H290)</f>
        <v>0.42</v>
      </c>
      <c r="J290" s="257">
        <v>30</v>
      </c>
      <c r="K290" s="214">
        <f>$G$19</f>
        <v>0.0482</v>
      </c>
      <c r="L290" s="197">
        <f>ROUND(J290*K290,2)</f>
        <v>1.45</v>
      </c>
      <c r="M290" s="197">
        <f>ROUND(L290*($A$16+$A$17)/100,2)</f>
        <v>0</v>
      </c>
      <c r="N290" s="198">
        <f>SUM(L290:M290)</f>
        <v>1.45</v>
      </c>
      <c r="O290" s="199">
        <f>SUM(I290,N290)</f>
        <v>1.8699999999999999</v>
      </c>
      <c r="P290" s="237" t="s">
        <v>1027</v>
      </c>
      <c r="Q290" s="439" t="s">
        <v>1028</v>
      </c>
      <c r="R290" s="439"/>
      <c r="S290" s="76"/>
      <c r="T290" s="22" t="s">
        <v>54</v>
      </c>
      <c r="U290" s="200">
        <f>O290</f>
        <v>1.8699999999999999</v>
      </c>
      <c r="V290" s="200">
        <f>ROUND(U290*$S$19,2)</f>
        <v>0.19</v>
      </c>
      <c r="W290" s="197">
        <f>ROUND(SUM(U290:V290)*$AA$19,2)</f>
        <v>0.7</v>
      </c>
      <c r="X290" s="197">
        <f>ROUND(SUM(U290:V290)*$AA$21,2)</f>
        <v>0</v>
      </c>
      <c r="Y290" s="197">
        <f>ROUND(SUM(U290:V290)*$AA$20,2)</f>
        <v>0.03</v>
      </c>
      <c r="Z290" s="201">
        <f>ROUND(U290*$S$20,2)</f>
        <v>2.05</v>
      </c>
      <c r="AA290" s="202">
        <f>SUM(U290:Z290)</f>
        <v>4.84</v>
      </c>
      <c r="AB290" s="203">
        <f>ROUND(AA290*$S$21,2)</f>
        <v>1.45</v>
      </c>
      <c r="AC290" s="204">
        <f>SUM(AA290:AB290)</f>
        <v>6.29</v>
      </c>
      <c r="AD290" s="205">
        <f>ROUND(AC290*$AD$19/95,2)</f>
        <v>0.33</v>
      </c>
      <c r="AE290" s="206">
        <f>SUM(AC290:AD290)</f>
        <v>6.62</v>
      </c>
      <c r="AF290" s="84"/>
      <c r="AG290" s="237" t="s">
        <v>1027</v>
      </c>
      <c r="AH290" s="439" t="s">
        <v>1028</v>
      </c>
      <c r="AI290" s="439"/>
      <c r="AJ290" s="78" t="s">
        <v>37</v>
      </c>
      <c r="AK290" s="78"/>
      <c r="AL290" s="207">
        <f>AE290</f>
        <v>6.62</v>
      </c>
      <c r="AM290" s="207"/>
      <c r="AN290" s="207">
        <f>BS290</f>
        <v>3.93</v>
      </c>
      <c r="AO290" s="19"/>
      <c r="AP290" s="120"/>
      <c r="AQ290" s="237" t="s">
        <v>1027</v>
      </c>
      <c r="AR290" s="439" t="s">
        <v>1028</v>
      </c>
      <c r="AS290" s="439"/>
      <c r="AT290" s="119">
        <v>4</v>
      </c>
      <c r="AU290" s="214">
        <f>$AV$16</f>
        <v>0.0606</v>
      </c>
      <c r="AV290" s="269">
        <f>ROUND(AT290*AU290,2)</f>
        <v>0.24</v>
      </c>
      <c r="AW290" s="269">
        <f>ROUND(AV290*($A$16+$A$17)/100,2)</f>
        <v>0</v>
      </c>
      <c r="AX290" s="198">
        <f>SUM(AV290:AW290)</f>
        <v>0.24</v>
      </c>
      <c r="AY290" s="29">
        <v>18</v>
      </c>
      <c r="AZ290" s="214">
        <f>$AV$19</f>
        <v>0.0482</v>
      </c>
      <c r="BA290" s="269">
        <f>ROUND(AY290*AZ290,2)</f>
        <v>0.87</v>
      </c>
      <c r="BB290" s="269">
        <f>ROUND(BA290*($A$16+$A$17)/100,2)</f>
        <v>0</v>
      </c>
      <c r="BC290" s="198">
        <f>SUM(BA290:BB290)</f>
        <v>0.87</v>
      </c>
      <c r="BD290" s="199">
        <f>SUM(AX290,BC290)</f>
        <v>1.1099999999999999</v>
      </c>
      <c r="BE290" s="237" t="s">
        <v>1027</v>
      </c>
      <c r="BF290" s="439" t="s">
        <v>1028</v>
      </c>
      <c r="BG290" s="439"/>
      <c r="BH290" s="136"/>
      <c r="BI290" s="200">
        <f>BD290</f>
        <v>1.1099999999999999</v>
      </c>
      <c r="BJ290" s="200">
        <f>ROUND(BI290*$S$19,2)</f>
        <v>0.11</v>
      </c>
      <c r="BK290" s="197">
        <f>ROUND(SUM(BI290:BJ290)*$AA$19,2)</f>
        <v>0.41</v>
      </c>
      <c r="BL290" s="197">
        <f>ROUND(SUM(BI290:BJ290)*$AA$21,2)</f>
        <v>0</v>
      </c>
      <c r="BM290" s="197">
        <f>ROUND(SUM(BI290:BJ290)*$AA$20,2)</f>
        <v>0.02</v>
      </c>
      <c r="BN290" s="201">
        <f>ROUND(BI290*$S$20,2)</f>
        <v>1.22</v>
      </c>
      <c r="BO290" s="202">
        <f>SUM(BI290:BN290)</f>
        <v>2.87</v>
      </c>
      <c r="BP290" s="203">
        <f>ROUND(BO290*$S$21,2)</f>
        <v>0.86</v>
      </c>
      <c r="BQ290" s="204">
        <f>SUM(BO290:BP290)</f>
        <v>3.73</v>
      </c>
      <c r="BR290" s="205">
        <f>ROUND(BQ290*$AD$19/95,2)</f>
        <v>0.2</v>
      </c>
      <c r="BS290" s="206">
        <f>SUM(BQ290:BR290)</f>
        <v>3.93</v>
      </c>
      <c r="BT290" s="84"/>
    </row>
    <row r="291" spans="1:72" ht="29.25" customHeight="1">
      <c r="A291" s="84"/>
      <c r="B291" s="233" t="s">
        <v>1035</v>
      </c>
      <c r="C291" s="364" t="s">
        <v>1036</v>
      </c>
      <c r="D291" s="251"/>
      <c r="E291" s="255"/>
      <c r="F291" s="256"/>
      <c r="G291" s="253"/>
      <c r="H291" s="253"/>
      <c r="I291" s="254"/>
      <c r="J291" s="255"/>
      <c r="K291" s="255"/>
      <c r="L291" s="253"/>
      <c r="M291" s="253"/>
      <c r="N291" s="254"/>
      <c r="O291" s="220"/>
      <c r="P291" s="233" t="s">
        <v>1035</v>
      </c>
      <c r="Q291" s="442" t="s">
        <v>1036</v>
      </c>
      <c r="R291" s="442"/>
      <c r="S291" s="76"/>
      <c r="T291" s="219"/>
      <c r="U291" s="253"/>
      <c r="V291" s="253"/>
      <c r="W291" s="253"/>
      <c r="X291" s="253"/>
      <c r="Y291" s="253"/>
      <c r="Z291" s="253"/>
      <c r="AA291" s="253"/>
      <c r="AB291" s="253"/>
      <c r="AC291" s="253"/>
      <c r="AD291" s="253"/>
      <c r="AE291" s="220"/>
      <c r="AF291" s="84"/>
      <c r="AG291" s="233" t="s">
        <v>1035</v>
      </c>
      <c r="AH291" s="442" t="s">
        <v>1036</v>
      </c>
      <c r="AI291" s="442"/>
      <c r="AJ291" s="78"/>
      <c r="AK291" s="78"/>
      <c r="AL291" s="207"/>
      <c r="AM291" s="207"/>
      <c r="AN291" s="207"/>
      <c r="AO291" s="19"/>
      <c r="AP291" s="120"/>
      <c r="AQ291" s="233" t="s">
        <v>1035</v>
      </c>
      <c r="AR291" s="442" t="s">
        <v>1036</v>
      </c>
      <c r="AS291" s="442"/>
      <c r="AT291" s="119"/>
      <c r="AU291" s="256"/>
      <c r="AV291" s="254"/>
      <c r="AW291" s="254"/>
      <c r="AX291" s="254"/>
      <c r="AY291" s="252"/>
      <c r="AZ291" s="256"/>
      <c r="BA291" s="254"/>
      <c r="BB291" s="254"/>
      <c r="BC291" s="254"/>
      <c r="BD291" s="220"/>
      <c r="BE291" s="233" t="s">
        <v>1035</v>
      </c>
      <c r="BF291" s="442" t="s">
        <v>1036</v>
      </c>
      <c r="BG291" s="442"/>
      <c r="BH291" s="136"/>
      <c r="BI291" s="253"/>
      <c r="BJ291" s="253"/>
      <c r="BK291" s="253"/>
      <c r="BL291" s="253"/>
      <c r="BM291" s="253"/>
      <c r="BN291" s="253"/>
      <c r="BO291" s="253"/>
      <c r="BP291" s="253"/>
      <c r="BQ291" s="253"/>
      <c r="BR291" s="253"/>
      <c r="BS291" s="220"/>
      <c r="BT291" s="84"/>
    </row>
    <row r="292" spans="1:72" ht="15.75" customHeight="1">
      <c r="A292" s="84"/>
      <c r="B292" s="237" t="s">
        <v>1037</v>
      </c>
      <c r="C292" s="282" t="s">
        <v>1038</v>
      </c>
      <c r="D292" s="78" t="s">
        <v>53</v>
      </c>
      <c r="E292" s="190">
        <v>5</v>
      </c>
      <c r="F292" s="214">
        <f>$G$16</f>
        <v>0.0606</v>
      </c>
      <c r="G292" s="197">
        <f>ROUND(E292*F292,2)</f>
        <v>0.3</v>
      </c>
      <c r="H292" s="197">
        <f>ROUND(G292*($A$16+$A$17)/100,2)</f>
        <v>0</v>
      </c>
      <c r="I292" s="198">
        <f>SUM(G292:H292)</f>
        <v>0.3</v>
      </c>
      <c r="J292" s="257">
        <v>9</v>
      </c>
      <c r="K292" s="214">
        <f>$G$19</f>
        <v>0.0482</v>
      </c>
      <c r="L292" s="197">
        <f>ROUND(J292*K292,2)</f>
        <v>0.43</v>
      </c>
      <c r="M292" s="197">
        <f>ROUND(L292*($A$16+$A$17)/100,2)</f>
        <v>0</v>
      </c>
      <c r="N292" s="198">
        <f>SUM(L292:M292)</f>
        <v>0.43</v>
      </c>
      <c r="O292" s="199">
        <f>SUM(I292,N292)</f>
        <v>0.73</v>
      </c>
      <c r="P292" s="237" t="s">
        <v>1037</v>
      </c>
      <c r="Q292" s="439" t="s">
        <v>1038</v>
      </c>
      <c r="R292" s="439"/>
      <c r="S292" s="76"/>
      <c r="T292" s="22" t="s">
        <v>54</v>
      </c>
      <c r="U292" s="200">
        <f>O292</f>
        <v>0.73</v>
      </c>
      <c r="V292" s="200">
        <f>ROUND(U292*$S$19,2)</f>
        <v>0.08</v>
      </c>
      <c r="W292" s="197">
        <f>ROUND(SUM(U292:V292)*$AA$19,2)</f>
        <v>0.28</v>
      </c>
      <c r="X292" s="197">
        <f>ROUND(SUM(U292:V292)*$AA$21,2)</f>
        <v>0</v>
      </c>
      <c r="Y292" s="197">
        <f>ROUND(SUM(U292:V292)*$AA$20,2)</f>
        <v>0.01</v>
      </c>
      <c r="Z292" s="201">
        <f>ROUND(U292*$S$20,2)</f>
        <v>0.8</v>
      </c>
      <c r="AA292" s="202">
        <f>SUM(U292:Z292)</f>
        <v>1.9</v>
      </c>
      <c r="AB292" s="203">
        <f>ROUND(AA292*$S$21,2)</f>
        <v>0.57</v>
      </c>
      <c r="AC292" s="204">
        <f>SUM(AA292:AB292)</f>
        <v>2.4699999999999998</v>
      </c>
      <c r="AD292" s="205">
        <f>ROUND(AC292*$AD$19/95,2)</f>
        <v>0.13</v>
      </c>
      <c r="AE292" s="206">
        <f>SUM(AC292:AD292)</f>
        <v>2.5999999999999996</v>
      </c>
      <c r="AF292" s="84"/>
      <c r="AG292" s="237" t="s">
        <v>1037</v>
      </c>
      <c r="AH292" s="439" t="s">
        <v>1038</v>
      </c>
      <c r="AI292" s="439"/>
      <c r="AJ292" s="78" t="s">
        <v>37</v>
      </c>
      <c r="AK292" s="78"/>
      <c r="AL292" s="207">
        <f>AE292</f>
        <v>2.5999999999999996</v>
      </c>
      <c r="AM292" s="207"/>
      <c r="AN292" s="207">
        <f>BS292</f>
        <v>1.4900000000000002</v>
      </c>
      <c r="AO292" s="19"/>
      <c r="AP292" s="120"/>
      <c r="AQ292" s="237" t="s">
        <v>1037</v>
      </c>
      <c r="AR292" s="439" t="s">
        <v>1038</v>
      </c>
      <c r="AS292" s="439"/>
      <c r="AT292" s="119">
        <v>3</v>
      </c>
      <c r="AU292" s="214">
        <f>$AV$16</f>
        <v>0.0606</v>
      </c>
      <c r="AV292" s="269">
        <f>ROUND(AT292*AU292,2)</f>
        <v>0.18</v>
      </c>
      <c r="AW292" s="269">
        <f>ROUND(AV292*($A$16+$A$17)/100,2)</f>
        <v>0</v>
      </c>
      <c r="AX292" s="198">
        <f>SUM(AV292:AW292)</f>
        <v>0.18</v>
      </c>
      <c r="AY292" s="29">
        <v>5</v>
      </c>
      <c r="AZ292" s="214">
        <f>$AV$19</f>
        <v>0.0482</v>
      </c>
      <c r="BA292" s="269">
        <f>ROUND(AY292*AZ292,2)</f>
        <v>0.24</v>
      </c>
      <c r="BB292" s="269">
        <f>ROUND(BA292*($A$16+$A$17)/100,2)</f>
        <v>0</v>
      </c>
      <c r="BC292" s="198">
        <f>SUM(BA292:BB292)</f>
        <v>0.24</v>
      </c>
      <c r="BD292" s="199">
        <f>SUM(AX292,BC292)</f>
        <v>0.42</v>
      </c>
      <c r="BE292" s="237" t="s">
        <v>1037</v>
      </c>
      <c r="BF292" s="439" t="s">
        <v>1038</v>
      </c>
      <c r="BG292" s="439"/>
      <c r="BH292" s="136"/>
      <c r="BI292" s="200">
        <f>BD292</f>
        <v>0.42</v>
      </c>
      <c r="BJ292" s="200">
        <f>ROUND(BI292*$S$19,2)</f>
        <v>0.04</v>
      </c>
      <c r="BK292" s="197">
        <f>ROUND(SUM(BI292:BJ292)*$AA$19,2)</f>
        <v>0.16</v>
      </c>
      <c r="BL292" s="197">
        <f>ROUND(SUM(BI292:BJ292)*$AA$21,2)</f>
        <v>0</v>
      </c>
      <c r="BM292" s="197">
        <f>ROUND(SUM(BI292:BJ292)*$AA$20,2)</f>
        <v>0.01</v>
      </c>
      <c r="BN292" s="201">
        <f>ROUND(BI292*$S$20,2)</f>
        <v>0.46</v>
      </c>
      <c r="BO292" s="202">
        <f>SUM(BI292:BN292)</f>
        <v>1.09</v>
      </c>
      <c r="BP292" s="203">
        <f>ROUND(BO292*$S$21,2)</f>
        <v>0.33</v>
      </c>
      <c r="BQ292" s="204">
        <f>SUM(BO292:BP292)</f>
        <v>1.4200000000000002</v>
      </c>
      <c r="BR292" s="205">
        <f>ROUND(BQ292*$AD$19/95,2)</f>
        <v>0.07</v>
      </c>
      <c r="BS292" s="206">
        <f>SUM(BQ292:BR292)</f>
        <v>1.4900000000000002</v>
      </c>
      <c r="BT292" s="84"/>
    </row>
    <row r="293" spans="1:72" ht="29.25" customHeight="1">
      <c r="A293" s="84"/>
      <c r="B293" s="233" t="s">
        <v>555</v>
      </c>
      <c r="C293" s="234" t="s">
        <v>556</v>
      </c>
      <c r="D293" s="251"/>
      <c r="E293" s="255"/>
      <c r="F293" s="256"/>
      <c r="G293" s="253"/>
      <c r="H293" s="253"/>
      <c r="I293" s="254"/>
      <c r="J293" s="255"/>
      <c r="K293" s="255"/>
      <c r="L293" s="253"/>
      <c r="M293" s="253"/>
      <c r="N293" s="254"/>
      <c r="O293" s="220"/>
      <c r="P293" s="233" t="s">
        <v>555</v>
      </c>
      <c r="Q293" s="442" t="s">
        <v>556</v>
      </c>
      <c r="R293" s="442"/>
      <c r="S293" s="76"/>
      <c r="T293" s="219"/>
      <c r="U293" s="253"/>
      <c r="V293" s="253"/>
      <c r="W293" s="253"/>
      <c r="X293" s="253"/>
      <c r="Y293" s="253"/>
      <c r="Z293" s="253"/>
      <c r="AA293" s="253"/>
      <c r="AB293" s="253"/>
      <c r="AC293" s="253"/>
      <c r="AD293" s="253"/>
      <c r="AE293" s="220"/>
      <c r="AF293" s="84"/>
      <c r="AG293" s="233" t="s">
        <v>555</v>
      </c>
      <c r="AH293" s="442" t="s">
        <v>556</v>
      </c>
      <c r="AI293" s="442"/>
      <c r="AJ293" s="78"/>
      <c r="AK293" s="78"/>
      <c r="AL293" s="207"/>
      <c r="AM293" s="207"/>
      <c r="AN293" s="207"/>
      <c r="AO293" s="19"/>
      <c r="AP293" s="120"/>
      <c r="AQ293" s="233" t="s">
        <v>555</v>
      </c>
      <c r="AR293" s="442" t="s">
        <v>556</v>
      </c>
      <c r="AS293" s="442"/>
      <c r="AT293" s="119"/>
      <c r="AU293" s="256"/>
      <c r="AV293" s="254"/>
      <c r="AW293" s="254"/>
      <c r="AX293" s="254"/>
      <c r="AY293" s="252"/>
      <c r="AZ293" s="256"/>
      <c r="BA293" s="254"/>
      <c r="BB293" s="254"/>
      <c r="BC293" s="254"/>
      <c r="BD293" s="220"/>
      <c r="BE293" s="233" t="s">
        <v>555</v>
      </c>
      <c r="BF293" s="442" t="s">
        <v>556</v>
      </c>
      <c r="BG293" s="442"/>
      <c r="BH293" s="136"/>
      <c r="BI293" s="253"/>
      <c r="BJ293" s="253"/>
      <c r="BK293" s="253"/>
      <c r="BL293" s="253"/>
      <c r="BM293" s="253"/>
      <c r="BN293" s="253"/>
      <c r="BO293" s="253"/>
      <c r="BP293" s="253"/>
      <c r="BQ293" s="253"/>
      <c r="BR293" s="253"/>
      <c r="BS293" s="220"/>
      <c r="BT293" s="84"/>
    </row>
    <row r="294" spans="1:72" ht="17.25" customHeight="1">
      <c r="A294" s="24"/>
      <c r="B294" s="237" t="s">
        <v>557</v>
      </c>
      <c r="C294" s="238" t="s">
        <v>545</v>
      </c>
      <c r="D294" s="78" t="s">
        <v>53</v>
      </c>
      <c r="E294" s="190">
        <v>5</v>
      </c>
      <c r="F294" s="214">
        <f>$G$16</f>
        <v>0.0606</v>
      </c>
      <c r="G294" s="197">
        <f>ROUND(E294*F294,2)</f>
        <v>0.3</v>
      </c>
      <c r="H294" s="197">
        <f>ROUND(G294*($A$16+$A$17)/100,2)</f>
        <v>0</v>
      </c>
      <c r="I294" s="198">
        <f>SUM(G294:H294)</f>
        <v>0.3</v>
      </c>
      <c r="J294" s="257">
        <v>8</v>
      </c>
      <c r="K294" s="214">
        <f>$G$19</f>
        <v>0.0482</v>
      </c>
      <c r="L294" s="197">
        <f>ROUND(J294*K294,2)</f>
        <v>0.39</v>
      </c>
      <c r="M294" s="197">
        <f>ROUND(L294*($A$16+$A$17)/100,2)</f>
        <v>0</v>
      </c>
      <c r="N294" s="198">
        <f>SUM(L294:M294)</f>
        <v>0.39</v>
      </c>
      <c r="O294" s="199">
        <f>SUM(I294,N294)</f>
        <v>0.69</v>
      </c>
      <c r="P294" s="237" t="s">
        <v>557</v>
      </c>
      <c r="Q294" s="439" t="s">
        <v>545</v>
      </c>
      <c r="R294" s="439"/>
      <c r="S294" s="76"/>
      <c r="T294" s="22" t="s">
        <v>54</v>
      </c>
      <c r="U294" s="200">
        <f t="shared" si="295"/>
        <v>0.69</v>
      </c>
      <c r="V294" s="200">
        <f t="shared" si="296"/>
        <v>0.07</v>
      </c>
      <c r="W294" s="197">
        <f t="shared" si="297"/>
        <v>0.26</v>
      </c>
      <c r="X294" s="197">
        <f t="shared" si="298"/>
        <v>0</v>
      </c>
      <c r="Y294" s="197">
        <f t="shared" si="299"/>
        <v>0.01</v>
      </c>
      <c r="Z294" s="201">
        <f t="shared" si="300"/>
        <v>0.76</v>
      </c>
      <c r="AA294" s="202">
        <f t="shared" si="301"/>
        <v>1.79</v>
      </c>
      <c r="AB294" s="203">
        <f t="shared" si="302"/>
        <v>0.54</v>
      </c>
      <c r="AC294" s="204">
        <f t="shared" si="303"/>
        <v>2.33</v>
      </c>
      <c r="AD294" s="205">
        <f t="shared" si="304"/>
        <v>0.12</v>
      </c>
      <c r="AE294" s="206">
        <f t="shared" si="305"/>
        <v>2.45</v>
      </c>
      <c r="AF294" s="24"/>
      <c r="AG294" s="237" t="s">
        <v>557</v>
      </c>
      <c r="AH294" s="439" t="s">
        <v>545</v>
      </c>
      <c r="AI294" s="439"/>
      <c r="AJ294" s="78"/>
      <c r="AK294" s="81"/>
      <c r="AL294" s="207">
        <f t="shared" si="281"/>
        <v>2.45</v>
      </c>
      <c r="AM294" s="207"/>
      <c r="AN294" s="207">
        <f t="shared" si="282"/>
        <v>1.4900000000000002</v>
      </c>
      <c r="AO294" s="19"/>
      <c r="AP294" s="24"/>
      <c r="AQ294" s="237" t="s">
        <v>557</v>
      </c>
      <c r="AR294" s="439" t="s">
        <v>545</v>
      </c>
      <c r="AS294" s="439"/>
      <c r="AT294" s="29">
        <v>3</v>
      </c>
      <c r="AU294" s="214">
        <f>$AV$16</f>
        <v>0.0606</v>
      </c>
      <c r="AV294" s="269">
        <f t="shared" si="273"/>
        <v>0.18</v>
      </c>
      <c r="AW294" s="269">
        <f t="shared" si="274"/>
        <v>0</v>
      </c>
      <c r="AX294" s="198">
        <f t="shared" si="275"/>
        <v>0.18</v>
      </c>
      <c r="AY294" s="29">
        <v>5</v>
      </c>
      <c r="AZ294" s="214">
        <f>$AV$19</f>
        <v>0.0482</v>
      </c>
      <c r="BA294" s="269">
        <f t="shared" si="277"/>
        <v>0.24</v>
      </c>
      <c r="BB294" s="269">
        <f t="shared" si="278"/>
        <v>0</v>
      </c>
      <c r="BC294" s="198">
        <f t="shared" si="279"/>
        <v>0.24</v>
      </c>
      <c r="BD294" s="199">
        <f t="shared" si="280"/>
        <v>0.42</v>
      </c>
      <c r="BE294" s="237" t="s">
        <v>557</v>
      </c>
      <c r="BF294" s="439" t="s">
        <v>545</v>
      </c>
      <c r="BG294" s="439"/>
      <c r="BH294" s="136"/>
      <c r="BI294" s="200">
        <f t="shared" si="306"/>
        <v>0.42</v>
      </c>
      <c r="BJ294" s="200">
        <f t="shared" si="283"/>
        <v>0.04</v>
      </c>
      <c r="BK294" s="197">
        <f t="shared" si="307"/>
        <v>0.16</v>
      </c>
      <c r="BL294" s="197">
        <f t="shared" si="308"/>
        <v>0</v>
      </c>
      <c r="BM294" s="197">
        <f t="shared" si="309"/>
        <v>0.01</v>
      </c>
      <c r="BN294" s="201">
        <f t="shared" si="310"/>
        <v>0.46</v>
      </c>
      <c r="BO294" s="202">
        <f t="shared" si="311"/>
        <v>1.09</v>
      </c>
      <c r="BP294" s="203">
        <f t="shared" si="284"/>
        <v>0.33</v>
      </c>
      <c r="BQ294" s="204">
        <f t="shared" si="312"/>
        <v>1.4200000000000002</v>
      </c>
      <c r="BR294" s="205">
        <f t="shared" si="285"/>
        <v>0.07</v>
      </c>
      <c r="BS294" s="206">
        <f t="shared" si="313"/>
        <v>1.4900000000000002</v>
      </c>
      <c r="BT294" s="24"/>
    </row>
    <row r="295" spans="1:72" ht="29.25" customHeight="1">
      <c r="A295" s="24"/>
      <c r="B295" s="237" t="s">
        <v>558</v>
      </c>
      <c r="C295" s="238" t="s">
        <v>559</v>
      </c>
      <c r="D295" s="78" t="s">
        <v>53</v>
      </c>
      <c r="E295" s="190">
        <v>10</v>
      </c>
      <c r="F295" s="214">
        <f>$G$16</f>
        <v>0.0606</v>
      </c>
      <c r="G295" s="197">
        <f>ROUND(E295*F295,2)</f>
        <v>0.61</v>
      </c>
      <c r="H295" s="197">
        <f>ROUND(G295*($A$16+$A$17)/100,2)</f>
        <v>0</v>
      </c>
      <c r="I295" s="198">
        <f>SUM(G295:H295)</f>
        <v>0.61</v>
      </c>
      <c r="J295" s="257">
        <v>18</v>
      </c>
      <c r="K295" s="214">
        <f>$G$19</f>
        <v>0.0482</v>
      </c>
      <c r="L295" s="197">
        <f>ROUND(J295*K295,2)</f>
        <v>0.87</v>
      </c>
      <c r="M295" s="197">
        <f>ROUND(L295*($A$16+$A$17)/100,2)</f>
        <v>0</v>
      </c>
      <c r="N295" s="198">
        <f>SUM(L295:M295)</f>
        <v>0.87</v>
      </c>
      <c r="O295" s="199">
        <f>SUM(I295,N295)</f>
        <v>1.48</v>
      </c>
      <c r="P295" s="237" t="s">
        <v>558</v>
      </c>
      <c r="Q295" s="439" t="s">
        <v>559</v>
      </c>
      <c r="R295" s="439"/>
      <c r="S295" s="76"/>
      <c r="T295" s="22" t="s">
        <v>54</v>
      </c>
      <c r="U295" s="200">
        <f t="shared" si="295"/>
        <v>1.48</v>
      </c>
      <c r="V295" s="200">
        <f t="shared" si="296"/>
        <v>0.15</v>
      </c>
      <c r="W295" s="197">
        <f t="shared" si="297"/>
        <v>0.55</v>
      </c>
      <c r="X295" s="197">
        <f t="shared" si="298"/>
        <v>0</v>
      </c>
      <c r="Y295" s="197">
        <f t="shared" si="299"/>
        <v>0.02</v>
      </c>
      <c r="Z295" s="201">
        <f t="shared" si="300"/>
        <v>1.62</v>
      </c>
      <c r="AA295" s="202">
        <f t="shared" si="301"/>
        <v>3.82</v>
      </c>
      <c r="AB295" s="203">
        <f t="shared" si="302"/>
        <v>1.15</v>
      </c>
      <c r="AC295" s="204">
        <f t="shared" si="303"/>
        <v>4.97</v>
      </c>
      <c r="AD295" s="205">
        <f t="shared" si="304"/>
        <v>0.26</v>
      </c>
      <c r="AE295" s="206">
        <f t="shared" si="305"/>
        <v>5.2299999999999995</v>
      </c>
      <c r="AF295" s="24"/>
      <c r="AG295" s="237" t="s">
        <v>558</v>
      </c>
      <c r="AH295" s="439" t="s">
        <v>559</v>
      </c>
      <c r="AI295" s="439"/>
      <c r="AJ295" s="78"/>
      <c r="AK295" s="81"/>
      <c r="AL295" s="207">
        <f t="shared" si="281"/>
        <v>5.2299999999999995</v>
      </c>
      <c r="AM295" s="207"/>
      <c r="AN295" s="207">
        <f t="shared" si="282"/>
        <v>4.25</v>
      </c>
      <c r="AO295" s="19"/>
      <c r="AP295" s="24"/>
      <c r="AQ295" s="237" t="s">
        <v>558</v>
      </c>
      <c r="AR295" s="439" t="s">
        <v>559</v>
      </c>
      <c r="AS295" s="439"/>
      <c r="AT295" s="270">
        <v>8</v>
      </c>
      <c r="AU295" s="214">
        <f>$AV$16</f>
        <v>0.0606</v>
      </c>
      <c r="AV295" s="269">
        <f t="shared" si="273"/>
        <v>0.48</v>
      </c>
      <c r="AW295" s="269">
        <f t="shared" si="274"/>
        <v>0</v>
      </c>
      <c r="AX295" s="198">
        <f t="shared" si="275"/>
        <v>0.48</v>
      </c>
      <c r="AY295" s="29">
        <v>15</v>
      </c>
      <c r="AZ295" s="214">
        <f>$AV$19</f>
        <v>0.0482</v>
      </c>
      <c r="BA295" s="269">
        <f t="shared" si="277"/>
        <v>0.72</v>
      </c>
      <c r="BB295" s="269">
        <f t="shared" si="278"/>
        <v>0</v>
      </c>
      <c r="BC295" s="198">
        <f t="shared" si="279"/>
        <v>0.72</v>
      </c>
      <c r="BD295" s="199">
        <f t="shared" si="280"/>
        <v>1.2</v>
      </c>
      <c r="BE295" s="237" t="s">
        <v>558</v>
      </c>
      <c r="BF295" s="439" t="s">
        <v>559</v>
      </c>
      <c r="BG295" s="439"/>
      <c r="BH295" s="136"/>
      <c r="BI295" s="200">
        <f t="shared" si="306"/>
        <v>1.2</v>
      </c>
      <c r="BJ295" s="200">
        <f t="shared" si="283"/>
        <v>0.12</v>
      </c>
      <c r="BK295" s="197">
        <f t="shared" si="307"/>
        <v>0.45</v>
      </c>
      <c r="BL295" s="197">
        <f t="shared" si="308"/>
        <v>0</v>
      </c>
      <c r="BM295" s="197">
        <f t="shared" si="309"/>
        <v>0.02</v>
      </c>
      <c r="BN295" s="201">
        <f t="shared" si="310"/>
        <v>1.32</v>
      </c>
      <c r="BO295" s="202">
        <f t="shared" si="311"/>
        <v>3.11</v>
      </c>
      <c r="BP295" s="203">
        <f t="shared" si="284"/>
        <v>0.93</v>
      </c>
      <c r="BQ295" s="204">
        <f t="shared" si="312"/>
        <v>4.04</v>
      </c>
      <c r="BR295" s="205">
        <f t="shared" si="285"/>
        <v>0.21</v>
      </c>
      <c r="BS295" s="206">
        <f t="shared" si="313"/>
        <v>4.25</v>
      </c>
      <c r="BT295" s="24"/>
    </row>
    <row r="296" spans="1:71" ht="38.25" customHeight="1">
      <c r="A296" s="181"/>
      <c r="B296" s="233" t="s">
        <v>564</v>
      </c>
      <c r="C296" s="234" t="s">
        <v>565</v>
      </c>
      <c r="D296" s="251"/>
      <c r="E296" s="255"/>
      <c r="F296" s="256"/>
      <c r="G296" s="253"/>
      <c r="H296" s="253"/>
      <c r="I296" s="254"/>
      <c r="J296" s="255"/>
      <c r="K296" s="255"/>
      <c r="L296" s="253"/>
      <c r="M296" s="253"/>
      <c r="N296" s="254"/>
      <c r="O296" s="220"/>
      <c r="P296" s="233" t="s">
        <v>564</v>
      </c>
      <c r="Q296" s="442" t="s">
        <v>565</v>
      </c>
      <c r="R296" s="442"/>
      <c r="S296" s="76"/>
      <c r="T296" s="219"/>
      <c r="U296" s="253"/>
      <c r="V296" s="253"/>
      <c r="W296" s="253"/>
      <c r="X296" s="253"/>
      <c r="Y296" s="253"/>
      <c r="Z296" s="253"/>
      <c r="AA296" s="253"/>
      <c r="AB296" s="253"/>
      <c r="AC296" s="253"/>
      <c r="AD296" s="253"/>
      <c r="AE296" s="220"/>
      <c r="AF296" s="181"/>
      <c r="AG296" s="233" t="s">
        <v>564</v>
      </c>
      <c r="AH296" s="442" t="s">
        <v>565</v>
      </c>
      <c r="AI296" s="442"/>
      <c r="AJ296" s="78"/>
      <c r="AK296" s="78"/>
      <c r="AL296" s="207"/>
      <c r="AM296" s="207"/>
      <c r="AN296" s="207"/>
      <c r="AQ296" s="233" t="s">
        <v>564</v>
      </c>
      <c r="AR296" s="442" t="s">
        <v>565</v>
      </c>
      <c r="AS296" s="442"/>
      <c r="AT296" s="271"/>
      <c r="AU296" s="256"/>
      <c r="AV296" s="254"/>
      <c r="AW296" s="254"/>
      <c r="AX296" s="254"/>
      <c r="AY296" s="252"/>
      <c r="AZ296" s="256"/>
      <c r="BA296" s="254"/>
      <c r="BB296" s="254"/>
      <c r="BC296" s="254"/>
      <c r="BD296" s="220"/>
      <c r="BE296" s="233" t="s">
        <v>564</v>
      </c>
      <c r="BF296" s="442" t="s">
        <v>565</v>
      </c>
      <c r="BG296" s="442"/>
      <c r="BI296" s="253"/>
      <c r="BJ296" s="253"/>
      <c r="BK296" s="253"/>
      <c r="BL296" s="253"/>
      <c r="BM296" s="253"/>
      <c r="BN296" s="253"/>
      <c r="BO296" s="253"/>
      <c r="BP296" s="253"/>
      <c r="BQ296" s="253"/>
      <c r="BR296" s="253"/>
      <c r="BS296" s="220"/>
    </row>
    <row r="297" spans="1:71" ht="18.75" customHeight="1">
      <c r="A297" s="181"/>
      <c r="B297" s="237" t="s">
        <v>566</v>
      </c>
      <c r="C297" s="238" t="s">
        <v>545</v>
      </c>
      <c r="D297" s="78" t="s">
        <v>53</v>
      </c>
      <c r="E297" s="190">
        <v>5</v>
      </c>
      <c r="F297" s="214">
        <f>$G$16</f>
        <v>0.0606</v>
      </c>
      <c r="G297" s="197">
        <f>ROUND(E297*F297,2)</f>
        <v>0.3</v>
      </c>
      <c r="H297" s="197">
        <f>ROUND(G297*($A$16+$A$17)/100,2)</f>
        <v>0</v>
      </c>
      <c r="I297" s="198">
        <f>SUM(G297:H297)</f>
        <v>0.3</v>
      </c>
      <c r="J297" s="257">
        <v>8</v>
      </c>
      <c r="K297" s="214">
        <f>$G$19</f>
        <v>0.0482</v>
      </c>
      <c r="L297" s="197">
        <f>ROUND(J297*K297,2)</f>
        <v>0.39</v>
      </c>
      <c r="M297" s="197">
        <f>ROUND(L297*($A$16+$A$17)/100,2)</f>
        <v>0</v>
      </c>
      <c r="N297" s="198">
        <f>SUM(L297:M297)</f>
        <v>0.39</v>
      </c>
      <c r="O297" s="199">
        <f>SUM(I297,N297)</f>
        <v>0.69</v>
      </c>
      <c r="P297" s="237" t="s">
        <v>566</v>
      </c>
      <c r="Q297" s="439" t="s">
        <v>545</v>
      </c>
      <c r="R297" s="439"/>
      <c r="S297" s="76"/>
      <c r="T297" s="22" t="s">
        <v>54</v>
      </c>
      <c r="U297" s="200">
        <f t="shared" si="295"/>
        <v>0.69</v>
      </c>
      <c r="V297" s="200">
        <f t="shared" si="296"/>
        <v>0.07</v>
      </c>
      <c r="W297" s="197">
        <f t="shared" si="297"/>
        <v>0.26</v>
      </c>
      <c r="X297" s="197">
        <f t="shared" si="298"/>
        <v>0</v>
      </c>
      <c r="Y297" s="197">
        <f t="shared" si="299"/>
        <v>0.01</v>
      </c>
      <c r="Z297" s="201">
        <f t="shared" si="300"/>
        <v>0.76</v>
      </c>
      <c r="AA297" s="202">
        <f t="shared" si="301"/>
        <v>1.79</v>
      </c>
      <c r="AB297" s="203">
        <f t="shared" si="302"/>
        <v>0.54</v>
      </c>
      <c r="AC297" s="204">
        <f t="shared" si="303"/>
        <v>2.33</v>
      </c>
      <c r="AD297" s="205">
        <f t="shared" si="304"/>
        <v>0.12</v>
      </c>
      <c r="AE297" s="206">
        <f t="shared" si="305"/>
        <v>2.45</v>
      </c>
      <c r="AF297" s="181"/>
      <c r="AG297" s="237" t="s">
        <v>566</v>
      </c>
      <c r="AH297" s="439" t="s">
        <v>545</v>
      </c>
      <c r="AI297" s="439"/>
      <c r="AJ297" s="78" t="s">
        <v>54</v>
      </c>
      <c r="AK297" s="78"/>
      <c r="AL297" s="207">
        <f t="shared" si="281"/>
        <v>2.45</v>
      </c>
      <c r="AM297" s="207"/>
      <c r="AN297" s="207">
        <f t="shared" si="282"/>
        <v>1.4900000000000002</v>
      </c>
      <c r="AQ297" s="237" t="s">
        <v>566</v>
      </c>
      <c r="AR297" s="439" t="s">
        <v>545</v>
      </c>
      <c r="AS297" s="439"/>
      <c r="AT297" s="29">
        <v>3</v>
      </c>
      <c r="AU297" s="214">
        <f aca="true" t="shared" si="323" ref="AU297:AU351">$AV$16</f>
        <v>0.0606</v>
      </c>
      <c r="AV297" s="269">
        <f aca="true" t="shared" si="324" ref="AV297:AV351">ROUND(AT297*AU297,2)</f>
        <v>0.18</v>
      </c>
      <c r="AW297" s="269">
        <f aca="true" t="shared" si="325" ref="AW297:AW351">ROUND(AV297*($A$16+$A$17)/100,2)</f>
        <v>0</v>
      </c>
      <c r="AX297" s="198">
        <f aca="true" t="shared" si="326" ref="AX297:AX351">SUM(AV297:AW297)</f>
        <v>0.18</v>
      </c>
      <c r="AY297" s="29">
        <v>5</v>
      </c>
      <c r="AZ297" s="214">
        <f aca="true" t="shared" si="327" ref="AZ297:AZ351">$AV$19</f>
        <v>0.0482</v>
      </c>
      <c r="BA297" s="269">
        <f aca="true" t="shared" si="328" ref="BA297:BA351">ROUND(AY297*AZ297,2)</f>
        <v>0.24</v>
      </c>
      <c r="BB297" s="269">
        <f aca="true" t="shared" si="329" ref="BB297:BB351">ROUND(BA297*($A$16+$A$17)/100,2)</f>
        <v>0</v>
      </c>
      <c r="BC297" s="198">
        <f aca="true" t="shared" si="330" ref="BC297:BC351">SUM(BA297:BB297)</f>
        <v>0.24</v>
      </c>
      <c r="BD297" s="199">
        <f aca="true" t="shared" si="331" ref="BD297:BD351">SUM(AX297,BC297)</f>
        <v>0.42</v>
      </c>
      <c r="BE297" s="237" t="s">
        <v>566</v>
      </c>
      <c r="BF297" s="439" t="s">
        <v>545</v>
      </c>
      <c r="BG297" s="439"/>
      <c r="BI297" s="200">
        <f t="shared" si="306"/>
        <v>0.42</v>
      </c>
      <c r="BJ297" s="200">
        <f t="shared" si="283"/>
        <v>0.04</v>
      </c>
      <c r="BK297" s="197">
        <f t="shared" si="307"/>
        <v>0.16</v>
      </c>
      <c r="BL297" s="197">
        <f t="shared" si="308"/>
        <v>0</v>
      </c>
      <c r="BM297" s="197">
        <f t="shared" si="309"/>
        <v>0.01</v>
      </c>
      <c r="BN297" s="201">
        <f t="shared" si="310"/>
        <v>0.46</v>
      </c>
      <c r="BO297" s="202">
        <f t="shared" si="311"/>
        <v>1.09</v>
      </c>
      <c r="BP297" s="203">
        <f t="shared" si="284"/>
        <v>0.33</v>
      </c>
      <c r="BQ297" s="204">
        <f t="shared" si="312"/>
        <v>1.4200000000000002</v>
      </c>
      <c r="BR297" s="205">
        <f t="shared" si="285"/>
        <v>0.07</v>
      </c>
      <c r="BS297" s="206">
        <f t="shared" si="313"/>
        <v>1.4900000000000002</v>
      </c>
    </row>
    <row r="298" spans="1:71" ht="20.25" customHeight="1">
      <c r="A298" s="181"/>
      <c r="B298" s="237" t="s">
        <v>567</v>
      </c>
      <c r="C298" s="238" t="s">
        <v>554</v>
      </c>
      <c r="D298" s="78" t="s">
        <v>53</v>
      </c>
      <c r="E298" s="190">
        <v>8</v>
      </c>
      <c r="F298" s="214">
        <f>$G$16</f>
        <v>0.0606</v>
      </c>
      <c r="G298" s="197">
        <f>ROUND(E298*F298,2)</f>
        <v>0.48</v>
      </c>
      <c r="H298" s="197">
        <f>ROUND(G298*($A$16+$A$17)/100,2)</f>
        <v>0</v>
      </c>
      <c r="I298" s="198">
        <f>SUM(G298:H298)</f>
        <v>0.48</v>
      </c>
      <c r="J298" s="257">
        <v>12</v>
      </c>
      <c r="K298" s="214">
        <f>$G$19</f>
        <v>0.0482</v>
      </c>
      <c r="L298" s="197">
        <f>ROUND(J298*K298,2)</f>
        <v>0.58</v>
      </c>
      <c r="M298" s="197">
        <f>ROUND(L298*($A$16+$A$17)/100,2)</f>
        <v>0</v>
      </c>
      <c r="N298" s="198">
        <f>SUM(L298:M298)</f>
        <v>0.58</v>
      </c>
      <c r="O298" s="199">
        <f>SUM(I298,N298)</f>
        <v>1.06</v>
      </c>
      <c r="P298" s="237" t="s">
        <v>567</v>
      </c>
      <c r="Q298" s="439" t="s">
        <v>554</v>
      </c>
      <c r="R298" s="439"/>
      <c r="S298" s="76"/>
      <c r="T298" s="22" t="s">
        <v>54</v>
      </c>
      <c r="U298" s="200">
        <f t="shared" si="295"/>
        <v>1.06</v>
      </c>
      <c r="V298" s="200">
        <f t="shared" si="296"/>
        <v>0.11</v>
      </c>
      <c r="W298" s="197">
        <f t="shared" si="297"/>
        <v>0.4</v>
      </c>
      <c r="X298" s="197">
        <f t="shared" si="298"/>
        <v>0</v>
      </c>
      <c r="Y298" s="197">
        <f t="shared" si="299"/>
        <v>0.02</v>
      </c>
      <c r="Z298" s="201">
        <f t="shared" si="300"/>
        <v>1.16</v>
      </c>
      <c r="AA298" s="202">
        <f t="shared" si="301"/>
        <v>2.75</v>
      </c>
      <c r="AB298" s="203">
        <f t="shared" si="302"/>
        <v>0.83</v>
      </c>
      <c r="AC298" s="204">
        <f t="shared" si="303"/>
        <v>3.58</v>
      </c>
      <c r="AD298" s="205">
        <f t="shared" si="304"/>
        <v>0.19</v>
      </c>
      <c r="AE298" s="206">
        <f t="shared" si="305"/>
        <v>3.77</v>
      </c>
      <c r="AF298" s="181"/>
      <c r="AG298" s="237" t="s">
        <v>567</v>
      </c>
      <c r="AH298" s="439" t="s">
        <v>554</v>
      </c>
      <c r="AI298" s="439"/>
      <c r="AJ298" s="78" t="s">
        <v>54</v>
      </c>
      <c r="AK298" s="78"/>
      <c r="AL298" s="207">
        <f t="shared" si="281"/>
        <v>3.77</v>
      </c>
      <c r="AM298" s="207"/>
      <c r="AN298" s="207">
        <f t="shared" si="282"/>
        <v>2.81</v>
      </c>
      <c r="AQ298" s="237" t="s">
        <v>567</v>
      </c>
      <c r="AR298" s="439" t="s">
        <v>554</v>
      </c>
      <c r="AS298" s="439"/>
      <c r="AT298" s="29">
        <v>6</v>
      </c>
      <c r="AU298" s="214">
        <f t="shared" si="323"/>
        <v>0.0606</v>
      </c>
      <c r="AV298" s="269">
        <f t="shared" si="324"/>
        <v>0.36</v>
      </c>
      <c r="AW298" s="269">
        <f t="shared" si="325"/>
        <v>0</v>
      </c>
      <c r="AX298" s="198">
        <f t="shared" si="326"/>
        <v>0.36</v>
      </c>
      <c r="AY298" s="29">
        <v>9</v>
      </c>
      <c r="AZ298" s="214">
        <f t="shared" si="327"/>
        <v>0.0482</v>
      </c>
      <c r="BA298" s="269">
        <f t="shared" si="328"/>
        <v>0.43</v>
      </c>
      <c r="BB298" s="269">
        <f t="shared" si="329"/>
        <v>0</v>
      </c>
      <c r="BC298" s="198">
        <f t="shared" si="330"/>
        <v>0.43</v>
      </c>
      <c r="BD298" s="199">
        <f t="shared" si="331"/>
        <v>0.79</v>
      </c>
      <c r="BE298" s="237" t="s">
        <v>567</v>
      </c>
      <c r="BF298" s="439" t="s">
        <v>554</v>
      </c>
      <c r="BG298" s="439"/>
      <c r="BI298" s="200">
        <f t="shared" si="306"/>
        <v>0.79</v>
      </c>
      <c r="BJ298" s="200">
        <f t="shared" si="283"/>
        <v>0.08</v>
      </c>
      <c r="BK298" s="197">
        <f t="shared" si="307"/>
        <v>0.3</v>
      </c>
      <c r="BL298" s="197">
        <f t="shared" si="308"/>
        <v>0</v>
      </c>
      <c r="BM298" s="197">
        <f t="shared" si="309"/>
        <v>0.01</v>
      </c>
      <c r="BN298" s="201">
        <f t="shared" si="310"/>
        <v>0.87</v>
      </c>
      <c r="BO298" s="202">
        <f t="shared" si="311"/>
        <v>2.05</v>
      </c>
      <c r="BP298" s="203">
        <f t="shared" si="284"/>
        <v>0.62</v>
      </c>
      <c r="BQ298" s="204">
        <f t="shared" si="312"/>
        <v>2.67</v>
      </c>
      <c r="BR298" s="205">
        <f t="shared" si="285"/>
        <v>0.14</v>
      </c>
      <c r="BS298" s="206">
        <f t="shared" si="313"/>
        <v>2.81</v>
      </c>
    </row>
    <row r="299" spans="1:71" ht="21.75" customHeight="1">
      <c r="A299" s="181"/>
      <c r="B299" s="233" t="s">
        <v>568</v>
      </c>
      <c r="C299" s="234" t="s">
        <v>569</v>
      </c>
      <c r="D299" s="251"/>
      <c r="E299" s="255"/>
      <c r="F299" s="256"/>
      <c r="G299" s="253"/>
      <c r="H299" s="253"/>
      <c r="I299" s="254"/>
      <c r="J299" s="255"/>
      <c r="K299" s="255"/>
      <c r="L299" s="253"/>
      <c r="M299" s="253"/>
      <c r="N299" s="254"/>
      <c r="O299" s="220"/>
      <c r="P299" s="233" t="s">
        <v>568</v>
      </c>
      <c r="Q299" s="442" t="s">
        <v>569</v>
      </c>
      <c r="R299" s="442"/>
      <c r="S299" s="76"/>
      <c r="T299" s="22"/>
      <c r="U299" s="253"/>
      <c r="V299" s="253"/>
      <c r="W299" s="253"/>
      <c r="X299" s="253"/>
      <c r="Y299" s="253"/>
      <c r="Z299" s="253"/>
      <c r="AA299" s="253"/>
      <c r="AB299" s="253"/>
      <c r="AC299" s="253"/>
      <c r="AD299" s="253"/>
      <c r="AE299" s="220"/>
      <c r="AF299" s="181"/>
      <c r="AG299" s="233" t="s">
        <v>568</v>
      </c>
      <c r="AH299" s="442" t="s">
        <v>569</v>
      </c>
      <c r="AI299" s="442"/>
      <c r="AJ299" s="78"/>
      <c r="AK299" s="78"/>
      <c r="AL299" s="207"/>
      <c r="AM299" s="207"/>
      <c r="AN299" s="207"/>
      <c r="AQ299" s="233" t="s">
        <v>568</v>
      </c>
      <c r="AR299" s="442" t="s">
        <v>569</v>
      </c>
      <c r="AS299" s="442"/>
      <c r="AT299" s="271"/>
      <c r="AU299" s="256"/>
      <c r="AV299" s="254"/>
      <c r="AW299" s="254"/>
      <c r="AX299" s="254"/>
      <c r="AY299" s="252"/>
      <c r="AZ299" s="256"/>
      <c r="BA299" s="254"/>
      <c r="BB299" s="254"/>
      <c r="BC299" s="254"/>
      <c r="BD299" s="220"/>
      <c r="BE299" s="233" t="s">
        <v>568</v>
      </c>
      <c r="BF299" s="442" t="s">
        <v>569</v>
      </c>
      <c r="BG299" s="442"/>
      <c r="BI299" s="253"/>
      <c r="BJ299" s="253"/>
      <c r="BK299" s="253"/>
      <c r="BL299" s="253"/>
      <c r="BM299" s="253"/>
      <c r="BN299" s="253"/>
      <c r="BO299" s="253"/>
      <c r="BP299" s="253"/>
      <c r="BQ299" s="253"/>
      <c r="BR299" s="253"/>
      <c r="BS299" s="220"/>
    </row>
    <row r="300" spans="2:71" ht="21" customHeight="1">
      <c r="B300" s="237" t="s">
        <v>570</v>
      </c>
      <c r="C300" s="238" t="s">
        <v>545</v>
      </c>
      <c r="D300" s="78" t="s">
        <v>53</v>
      </c>
      <c r="E300" s="190">
        <v>5</v>
      </c>
      <c r="F300" s="214">
        <f>$G$16</f>
        <v>0.0606</v>
      </c>
      <c r="G300" s="197">
        <f>ROUND(E300*F300,2)</f>
        <v>0.3</v>
      </c>
      <c r="H300" s="197">
        <f>ROUND(G300*($A$16+$A$17)/100,2)</f>
        <v>0</v>
      </c>
      <c r="I300" s="198">
        <f>SUM(G300:H300)</f>
        <v>0.3</v>
      </c>
      <c r="J300" s="257">
        <v>12</v>
      </c>
      <c r="K300" s="214">
        <f>$G$19</f>
        <v>0.0482</v>
      </c>
      <c r="L300" s="197">
        <f>ROUND(J300*K300,2)</f>
        <v>0.58</v>
      </c>
      <c r="M300" s="197">
        <f>ROUND(L300*($A$16+$A$17)/100,2)</f>
        <v>0</v>
      </c>
      <c r="N300" s="198">
        <f>SUM(L300:M300)</f>
        <v>0.58</v>
      </c>
      <c r="O300" s="199">
        <f>SUM(I300,N300)</f>
        <v>0.8799999999999999</v>
      </c>
      <c r="P300" s="237" t="s">
        <v>570</v>
      </c>
      <c r="Q300" s="439" t="s">
        <v>545</v>
      </c>
      <c r="R300" s="439"/>
      <c r="S300" s="76"/>
      <c r="T300" s="22" t="s">
        <v>54</v>
      </c>
      <c r="U300" s="200">
        <f t="shared" si="295"/>
        <v>0.8799999999999999</v>
      </c>
      <c r="V300" s="200">
        <f t="shared" si="296"/>
        <v>0.09</v>
      </c>
      <c r="W300" s="197">
        <f t="shared" si="297"/>
        <v>0.33</v>
      </c>
      <c r="X300" s="197">
        <f t="shared" si="298"/>
        <v>0</v>
      </c>
      <c r="Y300" s="197">
        <f t="shared" si="299"/>
        <v>0.01</v>
      </c>
      <c r="Z300" s="201">
        <f t="shared" si="300"/>
        <v>0.97</v>
      </c>
      <c r="AA300" s="202">
        <f t="shared" si="301"/>
        <v>2.28</v>
      </c>
      <c r="AB300" s="203">
        <f t="shared" si="302"/>
        <v>0.68</v>
      </c>
      <c r="AC300" s="204">
        <f t="shared" si="303"/>
        <v>2.96</v>
      </c>
      <c r="AD300" s="205">
        <f t="shared" si="304"/>
        <v>0.16</v>
      </c>
      <c r="AE300" s="206">
        <f t="shared" si="305"/>
        <v>3.12</v>
      </c>
      <c r="AF300" s="35"/>
      <c r="AG300" s="237" t="s">
        <v>570</v>
      </c>
      <c r="AH300" s="439" t="s">
        <v>545</v>
      </c>
      <c r="AI300" s="439"/>
      <c r="AJ300" s="78"/>
      <c r="AK300" s="81"/>
      <c r="AL300" s="207">
        <f t="shared" si="281"/>
        <v>3.12</v>
      </c>
      <c r="AM300" s="207"/>
      <c r="AN300" s="207">
        <f t="shared" si="282"/>
        <v>1.8299999999999998</v>
      </c>
      <c r="AQ300" s="237" t="s">
        <v>570</v>
      </c>
      <c r="AR300" s="439" t="s">
        <v>545</v>
      </c>
      <c r="AS300" s="439"/>
      <c r="AT300" s="29">
        <v>3</v>
      </c>
      <c r="AU300" s="214">
        <f t="shared" si="323"/>
        <v>0.0606</v>
      </c>
      <c r="AV300" s="269">
        <f t="shared" si="324"/>
        <v>0.18</v>
      </c>
      <c r="AW300" s="269">
        <f t="shared" si="325"/>
        <v>0</v>
      </c>
      <c r="AX300" s="198">
        <f t="shared" si="326"/>
        <v>0.18</v>
      </c>
      <c r="AY300" s="29">
        <v>7</v>
      </c>
      <c r="AZ300" s="214">
        <f t="shared" si="327"/>
        <v>0.0482</v>
      </c>
      <c r="BA300" s="269">
        <f t="shared" si="328"/>
        <v>0.34</v>
      </c>
      <c r="BB300" s="269">
        <f t="shared" si="329"/>
        <v>0</v>
      </c>
      <c r="BC300" s="198">
        <f t="shared" si="330"/>
        <v>0.34</v>
      </c>
      <c r="BD300" s="199">
        <f t="shared" si="331"/>
        <v>0.52</v>
      </c>
      <c r="BE300" s="237" t="s">
        <v>570</v>
      </c>
      <c r="BF300" s="439" t="s">
        <v>545</v>
      </c>
      <c r="BG300" s="439"/>
      <c r="BI300" s="200">
        <f t="shared" si="306"/>
        <v>0.52</v>
      </c>
      <c r="BJ300" s="200">
        <f t="shared" si="283"/>
        <v>0.05</v>
      </c>
      <c r="BK300" s="197">
        <f t="shared" si="307"/>
        <v>0.19</v>
      </c>
      <c r="BL300" s="197">
        <f t="shared" si="308"/>
        <v>0</v>
      </c>
      <c r="BM300" s="197">
        <f t="shared" si="309"/>
        <v>0.01</v>
      </c>
      <c r="BN300" s="201">
        <f t="shared" si="310"/>
        <v>0.57</v>
      </c>
      <c r="BO300" s="202">
        <f t="shared" si="311"/>
        <v>1.3399999999999999</v>
      </c>
      <c r="BP300" s="203">
        <f t="shared" si="284"/>
        <v>0.4</v>
      </c>
      <c r="BQ300" s="204">
        <f t="shared" si="312"/>
        <v>1.7399999999999998</v>
      </c>
      <c r="BR300" s="205">
        <f t="shared" si="285"/>
        <v>0.09</v>
      </c>
      <c r="BS300" s="206">
        <f t="shared" si="313"/>
        <v>1.8299999999999998</v>
      </c>
    </row>
    <row r="301" spans="1:71" ht="14.25" customHeight="1">
      <c r="A301" s="24"/>
      <c r="B301" s="237" t="s">
        <v>571</v>
      </c>
      <c r="C301" s="238" t="s">
        <v>554</v>
      </c>
      <c r="D301" s="78" t="s">
        <v>53</v>
      </c>
      <c r="E301" s="190">
        <v>12</v>
      </c>
      <c r="F301" s="214">
        <f>$G$15</f>
        <v>0.0565</v>
      </c>
      <c r="G301" s="197">
        <f>ROUND(E301*F301,2)</f>
        <v>0.68</v>
      </c>
      <c r="H301" s="197">
        <f>ROUND(G301*($A$16+$A$17)/100,2)</f>
        <v>0</v>
      </c>
      <c r="I301" s="198">
        <f>SUM(G301:H301)</f>
        <v>0.68</v>
      </c>
      <c r="J301" s="190">
        <v>18</v>
      </c>
      <c r="K301" s="190">
        <f>$G$18</f>
        <v>0.0445</v>
      </c>
      <c r="L301" s="197">
        <f>ROUND(J301*K301,2)</f>
        <v>0.8</v>
      </c>
      <c r="M301" s="197">
        <f>ROUND(L301*($A$16+$A$17)/100,2)</f>
        <v>0</v>
      </c>
      <c r="N301" s="198">
        <f>SUM(L301:M301)</f>
        <v>0.8</v>
      </c>
      <c r="O301" s="199">
        <f>SUM(I301,N301)</f>
        <v>1.48</v>
      </c>
      <c r="P301" s="237" t="s">
        <v>571</v>
      </c>
      <c r="Q301" s="265" t="s">
        <v>554</v>
      </c>
      <c r="R301" s="266"/>
      <c r="S301" s="76"/>
      <c r="T301" s="22" t="s">
        <v>54</v>
      </c>
      <c r="U301" s="200">
        <f t="shared" si="295"/>
        <v>1.48</v>
      </c>
      <c r="V301" s="200">
        <f t="shared" si="296"/>
        <v>0.15</v>
      </c>
      <c r="W301" s="197">
        <f t="shared" si="297"/>
        <v>0.55</v>
      </c>
      <c r="X301" s="197">
        <f t="shared" si="298"/>
        <v>0</v>
      </c>
      <c r="Y301" s="197">
        <f t="shared" si="299"/>
        <v>0.02</v>
      </c>
      <c r="Z301" s="201">
        <f t="shared" si="300"/>
        <v>1.62</v>
      </c>
      <c r="AA301" s="202">
        <f t="shared" si="301"/>
        <v>3.82</v>
      </c>
      <c r="AB301" s="203">
        <f t="shared" si="302"/>
        <v>1.15</v>
      </c>
      <c r="AC301" s="204">
        <f t="shared" si="303"/>
        <v>4.97</v>
      </c>
      <c r="AD301" s="205">
        <f t="shared" si="304"/>
        <v>0.26</v>
      </c>
      <c r="AE301" s="206">
        <f t="shared" si="305"/>
        <v>5.2299999999999995</v>
      </c>
      <c r="AF301" s="35"/>
      <c r="AG301" s="237" t="s">
        <v>571</v>
      </c>
      <c r="AH301" s="265" t="s">
        <v>554</v>
      </c>
      <c r="AI301" s="266"/>
      <c r="AJ301" s="78"/>
      <c r="AK301" s="81"/>
      <c r="AL301" s="207">
        <f>AE301</f>
        <v>5.2299999999999995</v>
      </c>
      <c r="AM301" s="207"/>
      <c r="AN301" s="207">
        <f>BS301</f>
        <v>4.19</v>
      </c>
      <c r="AQ301" s="237" t="s">
        <v>571</v>
      </c>
      <c r="AR301" s="265" t="s">
        <v>554</v>
      </c>
      <c r="AS301" s="266"/>
      <c r="AT301" s="271">
        <v>9</v>
      </c>
      <c r="AU301" s="214">
        <f t="shared" si="323"/>
        <v>0.0606</v>
      </c>
      <c r="AV301" s="269">
        <f t="shared" si="324"/>
        <v>0.55</v>
      </c>
      <c r="AW301" s="269">
        <f t="shared" si="325"/>
        <v>0</v>
      </c>
      <c r="AX301" s="198">
        <f t="shared" si="326"/>
        <v>0.55</v>
      </c>
      <c r="AY301" s="29">
        <v>13</v>
      </c>
      <c r="AZ301" s="214">
        <f t="shared" si="327"/>
        <v>0.0482</v>
      </c>
      <c r="BA301" s="269">
        <f t="shared" si="328"/>
        <v>0.63</v>
      </c>
      <c r="BB301" s="269">
        <f t="shared" si="329"/>
        <v>0</v>
      </c>
      <c r="BC301" s="198">
        <f t="shared" si="330"/>
        <v>0.63</v>
      </c>
      <c r="BD301" s="199">
        <f t="shared" si="331"/>
        <v>1.1800000000000002</v>
      </c>
      <c r="BE301" s="237" t="s">
        <v>571</v>
      </c>
      <c r="BF301" s="265" t="s">
        <v>554</v>
      </c>
      <c r="BG301" s="266"/>
      <c r="BI301" s="200">
        <f t="shared" si="306"/>
        <v>1.1800000000000002</v>
      </c>
      <c r="BJ301" s="200">
        <f t="shared" si="283"/>
        <v>0.12</v>
      </c>
      <c r="BK301" s="197">
        <f t="shared" si="307"/>
        <v>0.44</v>
      </c>
      <c r="BL301" s="197">
        <f t="shared" si="308"/>
        <v>0</v>
      </c>
      <c r="BM301" s="197">
        <f t="shared" si="309"/>
        <v>0.02</v>
      </c>
      <c r="BN301" s="201">
        <f t="shared" si="310"/>
        <v>1.3</v>
      </c>
      <c r="BO301" s="202">
        <f t="shared" si="311"/>
        <v>3.0600000000000005</v>
      </c>
      <c r="BP301" s="203">
        <f t="shared" si="284"/>
        <v>0.92</v>
      </c>
      <c r="BQ301" s="204">
        <f t="shared" si="312"/>
        <v>3.9800000000000004</v>
      </c>
      <c r="BR301" s="205">
        <f t="shared" si="285"/>
        <v>0.21</v>
      </c>
      <c r="BS301" s="206">
        <f t="shared" si="313"/>
        <v>4.19</v>
      </c>
    </row>
    <row r="302" spans="1:71" ht="24.75" customHeight="1">
      <c r="A302" s="24"/>
      <c r="B302" s="233" t="s">
        <v>572</v>
      </c>
      <c r="C302" s="234" t="s">
        <v>573</v>
      </c>
      <c r="D302" s="251"/>
      <c r="E302" s="255"/>
      <c r="F302" s="256"/>
      <c r="G302" s="253"/>
      <c r="H302" s="253"/>
      <c r="I302" s="254"/>
      <c r="J302" s="255"/>
      <c r="K302" s="255"/>
      <c r="L302" s="253"/>
      <c r="M302" s="253"/>
      <c r="N302" s="254"/>
      <c r="O302" s="220"/>
      <c r="P302" s="233" t="s">
        <v>572</v>
      </c>
      <c r="Q302" s="442" t="s">
        <v>573</v>
      </c>
      <c r="R302" s="442"/>
      <c r="S302" s="76"/>
      <c r="T302" s="22"/>
      <c r="U302" s="253"/>
      <c r="V302" s="253"/>
      <c r="W302" s="253"/>
      <c r="X302" s="253"/>
      <c r="Y302" s="253"/>
      <c r="Z302" s="253"/>
      <c r="AA302" s="253"/>
      <c r="AB302" s="253"/>
      <c r="AC302" s="253"/>
      <c r="AD302" s="253"/>
      <c r="AE302" s="220"/>
      <c r="AF302" s="35"/>
      <c r="AG302" s="233" t="s">
        <v>572</v>
      </c>
      <c r="AH302" s="442" t="s">
        <v>573</v>
      </c>
      <c r="AI302" s="442"/>
      <c r="AJ302" s="79"/>
      <c r="AK302" s="79"/>
      <c r="AL302" s="207"/>
      <c r="AM302" s="207"/>
      <c r="AN302" s="207"/>
      <c r="AQ302" s="233" t="s">
        <v>572</v>
      </c>
      <c r="AR302" s="442" t="s">
        <v>573</v>
      </c>
      <c r="AS302" s="442"/>
      <c r="AT302" s="271"/>
      <c r="AU302" s="256"/>
      <c r="AV302" s="254"/>
      <c r="AW302" s="254"/>
      <c r="AX302" s="254"/>
      <c r="AY302" s="252"/>
      <c r="AZ302" s="256"/>
      <c r="BA302" s="254"/>
      <c r="BB302" s="254"/>
      <c r="BC302" s="254"/>
      <c r="BD302" s="220"/>
      <c r="BE302" s="233" t="s">
        <v>572</v>
      </c>
      <c r="BF302" s="442" t="s">
        <v>573</v>
      </c>
      <c r="BG302" s="442"/>
      <c r="BI302" s="253"/>
      <c r="BJ302" s="253"/>
      <c r="BK302" s="253"/>
      <c r="BL302" s="253"/>
      <c r="BM302" s="253"/>
      <c r="BN302" s="253"/>
      <c r="BO302" s="253"/>
      <c r="BP302" s="253"/>
      <c r="BQ302" s="253"/>
      <c r="BR302" s="253"/>
      <c r="BS302" s="220"/>
    </row>
    <row r="303" spans="1:71" ht="19.5" customHeight="1">
      <c r="A303" s="24"/>
      <c r="B303" s="237" t="s">
        <v>574</v>
      </c>
      <c r="C303" s="238" t="s">
        <v>515</v>
      </c>
      <c r="D303" s="78" t="s">
        <v>53</v>
      </c>
      <c r="E303" s="190">
        <v>3</v>
      </c>
      <c r="F303" s="214">
        <f>$G$16</f>
        <v>0.0606</v>
      </c>
      <c r="G303" s="197">
        <f>ROUND(E303*F303,2)</f>
        <v>0.18</v>
      </c>
      <c r="H303" s="197">
        <f>ROUND(G303*($A$16+$A$17)/100,2)</f>
        <v>0</v>
      </c>
      <c r="I303" s="198">
        <f>SUM(G303:H303)</f>
        <v>0.18</v>
      </c>
      <c r="J303" s="257">
        <v>6</v>
      </c>
      <c r="K303" s="214">
        <f>$G$19</f>
        <v>0.0482</v>
      </c>
      <c r="L303" s="197">
        <f>ROUND(J303*K303,2)</f>
        <v>0.29</v>
      </c>
      <c r="M303" s="197">
        <f>ROUND(L303*($A$16+$A$17)/100,2)</f>
        <v>0</v>
      </c>
      <c r="N303" s="198">
        <f>SUM(L303:M303)</f>
        <v>0.29</v>
      </c>
      <c r="O303" s="199">
        <f>SUM(I303,N303)</f>
        <v>0.47</v>
      </c>
      <c r="P303" s="237" t="s">
        <v>574</v>
      </c>
      <c r="Q303" s="439" t="s">
        <v>515</v>
      </c>
      <c r="R303" s="439"/>
      <c r="S303" s="76"/>
      <c r="T303" s="22" t="s">
        <v>54</v>
      </c>
      <c r="U303" s="200">
        <f t="shared" si="295"/>
        <v>0.47</v>
      </c>
      <c r="V303" s="200">
        <f t="shared" si="296"/>
        <v>0.05</v>
      </c>
      <c r="W303" s="197">
        <f t="shared" si="297"/>
        <v>0.18</v>
      </c>
      <c r="X303" s="197">
        <f t="shared" si="298"/>
        <v>0</v>
      </c>
      <c r="Y303" s="197">
        <f t="shared" si="299"/>
        <v>0.01</v>
      </c>
      <c r="Z303" s="201">
        <f t="shared" si="300"/>
        <v>0.52</v>
      </c>
      <c r="AA303" s="202">
        <f t="shared" si="301"/>
        <v>1.23</v>
      </c>
      <c r="AB303" s="203">
        <f t="shared" si="302"/>
        <v>0.37</v>
      </c>
      <c r="AC303" s="204">
        <f t="shared" si="303"/>
        <v>1.6</v>
      </c>
      <c r="AD303" s="205">
        <f t="shared" si="304"/>
        <v>0.08</v>
      </c>
      <c r="AE303" s="206">
        <f t="shared" si="305"/>
        <v>1.6800000000000002</v>
      </c>
      <c r="AF303" s="35"/>
      <c r="AG303" s="237" t="s">
        <v>574</v>
      </c>
      <c r="AH303" s="439" t="s">
        <v>515</v>
      </c>
      <c r="AI303" s="439"/>
      <c r="AJ303" s="11"/>
      <c r="AK303" s="11"/>
      <c r="AL303" s="207">
        <f aca="true" t="shared" si="332" ref="AL303:AL353">AE303</f>
        <v>1.6800000000000002</v>
      </c>
      <c r="AM303" s="207"/>
      <c r="AN303" s="207">
        <f aca="true" t="shared" si="333" ref="AN303:AN353">BS303</f>
        <v>1.11</v>
      </c>
      <c r="AQ303" s="237" t="s">
        <v>574</v>
      </c>
      <c r="AR303" s="439" t="s">
        <v>515</v>
      </c>
      <c r="AS303" s="439"/>
      <c r="AT303" s="271">
        <v>2</v>
      </c>
      <c r="AU303" s="214">
        <f t="shared" si="323"/>
        <v>0.0606</v>
      </c>
      <c r="AV303" s="269">
        <f t="shared" si="324"/>
        <v>0.12</v>
      </c>
      <c r="AW303" s="269">
        <f t="shared" si="325"/>
        <v>0</v>
      </c>
      <c r="AX303" s="198">
        <f t="shared" si="326"/>
        <v>0.12</v>
      </c>
      <c r="AY303" s="29">
        <v>4</v>
      </c>
      <c r="AZ303" s="214">
        <f t="shared" si="327"/>
        <v>0.0482</v>
      </c>
      <c r="BA303" s="269">
        <f t="shared" si="328"/>
        <v>0.19</v>
      </c>
      <c r="BB303" s="269">
        <f t="shared" si="329"/>
        <v>0</v>
      </c>
      <c r="BC303" s="198">
        <f t="shared" si="330"/>
        <v>0.19</v>
      </c>
      <c r="BD303" s="199">
        <f t="shared" si="331"/>
        <v>0.31</v>
      </c>
      <c r="BE303" s="237" t="s">
        <v>574</v>
      </c>
      <c r="BF303" s="439" t="s">
        <v>515</v>
      </c>
      <c r="BG303" s="439"/>
      <c r="BI303" s="200">
        <f t="shared" si="306"/>
        <v>0.31</v>
      </c>
      <c r="BJ303" s="200">
        <f t="shared" si="283"/>
        <v>0.03</v>
      </c>
      <c r="BK303" s="197">
        <f t="shared" si="307"/>
        <v>0.12</v>
      </c>
      <c r="BL303" s="197">
        <f t="shared" si="308"/>
        <v>0</v>
      </c>
      <c r="BM303" s="197">
        <f t="shared" si="309"/>
        <v>0.01</v>
      </c>
      <c r="BN303" s="201">
        <f t="shared" si="310"/>
        <v>0.34</v>
      </c>
      <c r="BO303" s="202">
        <f t="shared" si="311"/>
        <v>0.81</v>
      </c>
      <c r="BP303" s="203">
        <f t="shared" si="284"/>
        <v>0.24</v>
      </c>
      <c r="BQ303" s="204">
        <f t="shared" si="312"/>
        <v>1.05</v>
      </c>
      <c r="BR303" s="205">
        <f t="shared" si="285"/>
        <v>0.06</v>
      </c>
      <c r="BS303" s="206">
        <f t="shared" si="313"/>
        <v>1.11</v>
      </c>
    </row>
    <row r="304" spans="1:71" ht="30" customHeight="1">
      <c r="A304" s="24"/>
      <c r="B304" s="237" t="s">
        <v>575</v>
      </c>
      <c r="C304" s="238" t="s">
        <v>559</v>
      </c>
      <c r="D304" s="78" t="s">
        <v>53</v>
      </c>
      <c r="E304" s="190">
        <v>6</v>
      </c>
      <c r="F304" s="214">
        <f>$G$16</f>
        <v>0.0606</v>
      </c>
      <c r="G304" s="197">
        <f>ROUND(E304*F304,2)</f>
        <v>0.36</v>
      </c>
      <c r="H304" s="197">
        <f>ROUND(G304*($A$16+$A$17)/100,2)</f>
        <v>0</v>
      </c>
      <c r="I304" s="198">
        <f>SUM(G304:H304)</f>
        <v>0.36</v>
      </c>
      <c r="J304" s="257">
        <v>12</v>
      </c>
      <c r="K304" s="214">
        <f>$G$19</f>
        <v>0.0482</v>
      </c>
      <c r="L304" s="197">
        <f>ROUND(J304*K304,2)</f>
        <v>0.58</v>
      </c>
      <c r="M304" s="197">
        <f>ROUND(L304*($A$16+$A$17)/100,2)</f>
        <v>0</v>
      </c>
      <c r="N304" s="198">
        <f>SUM(L304:M304)</f>
        <v>0.58</v>
      </c>
      <c r="O304" s="199">
        <f>SUM(I304,N304)</f>
        <v>0.94</v>
      </c>
      <c r="P304" s="237" t="s">
        <v>575</v>
      </c>
      <c r="Q304" s="439" t="s">
        <v>559</v>
      </c>
      <c r="R304" s="439"/>
      <c r="S304" s="76"/>
      <c r="T304" s="22" t="s">
        <v>54</v>
      </c>
      <c r="U304" s="200">
        <f t="shared" si="295"/>
        <v>0.94</v>
      </c>
      <c r="V304" s="200">
        <f t="shared" si="296"/>
        <v>0.1</v>
      </c>
      <c r="W304" s="197">
        <f t="shared" si="297"/>
        <v>0.35</v>
      </c>
      <c r="X304" s="197">
        <f t="shared" si="298"/>
        <v>0</v>
      </c>
      <c r="Y304" s="197">
        <f t="shared" si="299"/>
        <v>0.02</v>
      </c>
      <c r="Z304" s="201">
        <f t="shared" si="300"/>
        <v>1.03</v>
      </c>
      <c r="AA304" s="202">
        <f t="shared" si="301"/>
        <v>2.4400000000000004</v>
      </c>
      <c r="AB304" s="203">
        <f t="shared" si="302"/>
        <v>0.73</v>
      </c>
      <c r="AC304" s="204">
        <f t="shared" si="303"/>
        <v>3.1700000000000004</v>
      </c>
      <c r="AD304" s="205">
        <f t="shared" si="304"/>
        <v>0.17</v>
      </c>
      <c r="AE304" s="206">
        <f t="shared" si="305"/>
        <v>3.3400000000000003</v>
      </c>
      <c r="AF304" s="35"/>
      <c r="AG304" s="237" t="s">
        <v>575</v>
      </c>
      <c r="AH304" s="439" t="s">
        <v>559</v>
      </c>
      <c r="AI304" s="439"/>
      <c r="AJ304" s="79"/>
      <c r="AK304" s="79"/>
      <c r="AL304" s="207">
        <f t="shared" si="332"/>
        <v>3.3400000000000003</v>
      </c>
      <c r="AM304" s="207"/>
      <c r="AN304" s="207">
        <f t="shared" si="333"/>
        <v>2.77</v>
      </c>
      <c r="AQ304" s="237" t="s">
        <v>575</v>
      </c>
      <c r="AR304" s="439" t="s">
        <v>559</v>
      </c>
      <c r="AS304" s="439"/>
      <c r="AT304" s="271">
        <v>5</v>
      </c>
      <c r="AU304" s="214">
        <f t="shared" si="323"/>
        <v>0.0606</v>
      </c>
      <c r="AV304" s="269">
        <f t="shared" si="324"/>
        <v>0.3</v>
      </c>
      <c r="AW304" s="269">
        <f t="shared" si="325"/>
        <v>0</v>
      </c>
      <c r="AX304" s="198">
        <f t="shared" si="326"/>
        <v>0.3</v>
      </c>
      <c r="AY304" s="29">
        <v>10</v>
      </c>
      <c r="AZ304" s="214">
        <f t="shared" si="327"/>
        <v>0.0482</v>
      </c>
      <c r="BA304" s="269">
        <f t="shared" si="328"/>
        <v>0.48</v>
      </c>
      <c r="BB304" s="269">
        <f t="shared" si="329"/>
        <v>0</v>
      </c>
      <c r="BC304" s="198">
        <f t="shared" si="330"/>
        <v>0.48</v>
      </c>
      <c r="BD304" s="199">
        <f t="shared" si="331"/>
        <v>0.78</v>
      </c>
      <c r="BE304" s="237" t="s">
        <v>575</v>
      </c>
      <c r="BF304" s="439" t="s">
        <v>559</v>
      </c>
      <c r="BG304" s="439"/>
      <c r="BI304" s="200">
        <f t="shared" si="306"/>
        <v>0.78</v>
      </c>
      <c r="BJ304" s="200">
        <f t="shared" si="283"/>
        <v>0.08</v>
      </c>
      <c r="BK304" s="197">
        <f t="shared" si="307"/>
        <v>0.29</v>
      </c>
      <c r="BL304" s="197">
        <f t="shared" si="308"/>
        <v>0</v>
      </c>
      <c r="BM304" s="197">
        <f t="shared" si="309"/>
        <v>0.01</v>
      </c>
      <c r="BN304" s="201">
        <f t="shared" si="310"/>
        <v>0.86</v>
      </c>
      <c r="BO304" s="202">
        <f t="shared" si="311"/>
        <v>2.02</v>
      </c>
      <c r="BP304" s="203">
        <f t="shared" si="284"/>
        <v>0.61</v>
      </c>
      <c r="BQ304" s="204">
        <f t="shared" si="312"/>
        <v>2.63</v>
      </c>
      <c r="BR304" s="205">
        <f t="shared" si="285"/>
        <v>0.14</v>
      </c>
      <c r="BS304" s="206">
        <f t="shared" si="313"/>
        <v>2.77</v>
      </c>
    </row>
    <row r="305" spans="2:71" ht="25.5">
      <c r="B305" s="237" t="s">
        <v>576</v>
      </c>
      <c r="C305" s="238" t="s">
        <v>577</v>
      </c>
      <c r="D305" s="78" t="s">
        <v>53</v>
      </c>
      <c r="E305" s="190">
        <v>5</v>
      </c>
      <c r="F305" s="214">
        <f>$G$16</f>
        <v>0.0606</v>
      </c>
      <c r="G305" s="197">
        <f>ROUND(E305*F305,2)</f>
        <v>0.3</v>
      </c>
      <c r="H305" s="197">
        <f>ROUND(G305*($A$16+$A$17)/100,2)</f>
        <v>0</v>
      </c>
      <c r="I305" s="198">
        <f>SUM(G305:H305)</f>
        <v>0.3</v>
      </c>
      <c r="J305" s="257">
        <v>8</v>
      </c>
      <c r="K305" s="214">
        <f>$G$19</f>
        <v>0.0482</v>
      </c>
      <c r="L305" s="197">
        <f>ROUND(J305*K305,2)</f>
        <v>0.39</v>
      </c>
      <c r="M305" s="197">
        <f>ROUND(L305*($A$16+$A$17)/100,2)</f>
        <v>0</v>
      </c>
      <c r="N305" s="198">
        <f>SUM(L305:M305)</f>
        <v>0.39</v>
      </c>
      <c r="O305" s="199">
        <f>SUM(I305,N305)</f>
        <v>0.69</v>
      </c>
      <c r="P305" s="237" t="s">
        <v>576</v>
      </c>
      <c r="Q305" s="439" t="s">
        <v>577</v>
      </c>
      <c r="R305" s="439"/>
      <c r="T305" s="22" t="s">
        <v>54</v>
      </c>
      <c r="U305" s="200">
        <f t="shared" si="295"/>
        <v>0.69</v>
      </c>
      <c r="V305" s="200">
        <f t="shared" si="296"/>
        <v>0.07</v>
      </c>
      <c r="W305" s="197">
        <f t="shared" si="297"/>
        <v>0.26</v>
      </c>
      <c r="X305" s="197">
        <f t="shared" si="298"/>
        <v>0</v>
      </c>
      <c r="Y305" s="197">
        <f t="shared" si="299"/>
        <v>0.01</v>
      </c>
      <c r="Z305" s="201">
        <f t="shared" si="300"/>
        <v>0.76</v>
      </c>
      <c r="AA305" s="202">
        <f t="shared" si="301"/>
        <v>1.79</v>
      </c>
      <c r="AB305" s="203">
        <f t="shared" si="302"/>
        <v>0.54</v>
      </c>
      <c r="AC305" s="204">
        <f t="shared" si="303"/>
        <v>2.33</v>
      </c>
      <c r="AD305" s="205">
        <f t="shared" si="304"/>
        <v>0.12</v>
      </c>
      <c r="AE305" s="206">
        <f t="shared" si="305"/>
        <v>2.45</v>
      </c>
      <c r="AG305" s="237" t="s">
        <v>576</v>
      </c>
      <c r="AH305" s="439" t="s">
        <v>577</v>
      </c>
      <c r="AI305" s="439"/>
      <c r="AL305" s="207">
        <f t="shared" si="332"/>
        <v>2.45</v>
      </c>
      <c r="AM305" s="207"/>
      <c r="AN305" s="207">
        <f t="shared" si="333"/>
        <v>1.4900000000000002</v>
      </c>
      <c r="AQ305" s="237" t="s">
        <v>576</v>
      </c>
      <c r="AR305" s="439" t="s">
        <v>577</v>
      </c>
      <c r="AS305" s="439"/>
      <c r="AT305" s="271">
        <v>3</v>
      </c>
      <c r="AU305" s="214">
        <f t="shared" si="323"/>
        <v>0.0606</v>
      </c>
      <c r="AV305" s="269">
        <f t="shared" si="324"/>
        <v>0.18</v>
      </c>
      <c r="AW305" s="269">
        <f t="shared" si="325"/>
        <v>0</v>
      </c>
      <c r="AX305" s="198">
        <f t="shared" si="326"/>
        <v>0.18</v>
      </c>
      <c r="AY305" s="29">
        <v>5</v>
      </c>
      <c r="AZ305" s="214">
        <f t="shared" si="327"/>
        <v>0.0482</v>
      </c>
      <c r="BA305" s="269">
        <f t="shared" si="328"/>
        <v>0.24</v>
      </c>
      <c r="BB305" s="269">
        <f t="shared" si="329"/>
        <v>0</v>
      </c>
      <c r="BC305" s="198">
        <f t="shared" si="330"/>
        <v>0.24</v>
      </c>
      <c r="BD305" s="199">
        <f t="shared" si="331"/>
        <v>0.42</v>
      </c>
      <c r="BE305" s="237" t="s">
        <v>576</v>
      </c>
      <c r="BF305" s="439" t="s">
        <v>577</v>
      </c>
      <c r="BG305" s="439"/>
      <c r="BI305" s="200">
        <f t="shared" si="306"/>
        <v>0.42</v>
      </c>
      <c r="BJ305" s="200">
        <f t="shared" si="283"/>
        <v>0.04</v>
      </c>
      <c r="BK305" s="197">
        <f t="shared" si="307"/>
        <v>0.16</v>
      </c>
      <c r="BL305" s="197">
        <f t="shared" si="308"/>
        <v>0</v>
      </c>
      <c r="BM305" s="197">
        <f t="shared" si="309"/>
        <v>0.01</v>
      </c>
      <c r="BN305" s="201">
        <f t="shared" si="310"/>
        <v>0.46</v>
      </c>
      <c r="BO305" s="202">
        <f t="shared" si="311"/>
        <v>1.09</v>
      </c>
      <c r="BP305" s="203">
        <f t="shared" si="284"/>
        <v>0.33</v>
      </c>
      <c r="BQ305" s="204">
        <f t="shared" si="312"/>
        <v>1.4200000000000002</v>
      </c>
      <c r="BR305" s="205">
        <f t="shared" si="285"/>
        <v>0.07</v>
      </c>
      <c r="BS305" s="206">
        <f t="shared" si="313"/>
        <v>1.4900000000000002</v>
      </c>
    </row>
    <row r="306" spans="2:71" ht="51" customHeight="1">
      <c r="B306" s="233" t="s">
        <v>578</v>
      </c>
      <c r="C306" s="234" t="s">
        <v>579</v>
      </c>
      <c r="D306" s="251"/>
      <c r="E306" s="255"/>
      <c r="F306" s="256"/>
      <c r="G306" s="253"/>
      <c r="H306" s="253"/>
      <c r="I306" s="254"/>
      <c r="J306" s="255"/>
      <c r="K306" s="255"/>
      <c r="L306" s="253"/>
      <c r="M306" s="253"/>
      <c r="N306" s="254"/>
      <c r="O306" s="220"/>
      <c r="P306" s="233" t="s">
        <v>578</v>
      </c>
      <c r="Q306" s="442" t="s">
        <v>579</v>
      </c>
      <c r="R306" s="442"/>
      <c r="U306" s="253"/>
      <c r="V306" s="253"/>
      <c r="W306" s="253"/>
      <c r="X306" s="253"/>
      <c r="Y306" s="253"/>
      <c r="Z306" s="253"/>
      <c r="AA306" s="253"/>
      <c r="AB306" s="253"/>
      <c r="AC306" s="253"/>
      <c r="AD306" s="253"/>
      <c r="AE306" s="220"/>
      <c r="AG306" s="233" t="s">
        <v>578</v>
      </c>
      <c r="AH306" s="442" t="s">
        <v>579</v>
      </c>
      <c r="AI306" s="442"/>
      <c r="AL306" s="207"/>
      <c r="AM306" s="207"/>
      <c r="AN306" s="207"/>
      <c r="AQ306" s="233" t="s">
        <v>578</v>
      </c>
      <c r="AR306" s="442" t="s">
        <v>579</v>
      </c>
      <c r="AS306" s="442"/>
      <c r="AT306" s="271"/>
      <c r="AU306" s="256"/>
      <c r="AV306" s="254"/>
      <c r="AW306" s="254"/>
      <c r="AX306" s="254"/>
      <c r="AY306" s="252"/>
      <c r="AZ306" s="256"/>
      <c r="BA306" s="254"/>
      <c r="BB306" s="254"/>
      <c r="BC306" s="254"/>
      <c r="BD306" s="220"/>
      <c r="BE306" s="233" t="s">
        <v>578</v>
      </c>
      <c r="BF306" s="442" t="s">
        <v>579</v>
      </c>
      <c r="BG306" s="442"/>
      <c r="BI306" s="253"/>
      <c r="BJ306" s="253"/>
      <c r="BK306" s="253"/>
      <c r="BL306" s="253"/>
      <c r="BM306" s="253"/>
      <c r="BN306" s="253"/>
      <c r="BO306" s="253"/>
      <c r="BP306" s="253"/>
      <c r="BQ306" s="253"/>
      <c r="BR306" s="253"/>
      <c r="BS306" s="220"/>
    </row>
    <row r="307" spans="2:71" ht="21.75" customHeight="1">
      <c r="B307" s="237" t="s">
        <v>580</v>
      </c>
      <c r="C307" s="238" t="s">
        <v>515</v>
      </c>
      <c r="D307" s="78" t="s">
        <v>53</v>
      </c>
      <c r="E307" s="190">
        <v>7</v>
      </c>
      <c r="F307" s="214">
        <f>$G$16</f>
        <v>0.0606</v>
      </c>
      <c r="G307" s="197">
        <f>ROUND(E307*F307,2)</f>
        <v>0.42</v>
      </c>
      <c r="H307" s="197">
        <f>ROUND(G307*($A$16+$A$17)/100,2)</f>
        <v>0</v>
      </c>
      <c r="I307" s="198">
        <f>SUM(G307:H307)</f>
        <v>0.42</v>
      </c>
      <c r="J307" s="257">
        <v>10</v>
      </c>
      <c r="K307" s="214">
        <f>$G$19</f>
        <v>0.0482</v>
      </c>
      <c r="L307" s="197">
        <f>ROUND(J307*K307,2)</f>
        <v>0.48</v>
      </c>
      <c r="M307" s="197">
        <f>ROUND(L307*($A$16+$A$17)/100,2)</f>
        <v>0</v>
      </c>
      <c r="N307" s="198">
        <f>SUM(L307:M307)</f>
        <v>0.48</v>
      </c>
      <c r="O307" s="199">
        <f>SUM(I307,N307)</f>
        <v>0.8999999999999999</v>
      </c>
      <c r="P307" s="237" t="s">
        <v>580</v>
      </c>
      <c r="Q307" s="439" t="s">
        <v>515</v>
      </c>
      <c r="R307" s="439"/>
      <c r="T307" s="22" t="s">
        <v>54</v>
      </c>
      <c r="U307" s="200">
        <f t="shared" si="295"/>
        <v>0.8999999999999999</v>
      </c>
      <c r="V307" s="200">
        <f t="shared" si="296"/>
        <v>0.09</v>
      </c>
      <c r="W307" s="197">
        <f t="shared" si="297"/>
        <v>0.34</v>
      </c>
      <c r="X307" s="197">
        <f t="shared" si="298"/>
        <v>0</v>
      </c>
      <c r="Y307" s="197">
        <f t="shared" si="299"/>
        <v>0.01</v>
      </c>
      <c r="Z307" s="201">
        <f t="shared" si="300"/>
        <v>0.99</v>
      </c>
      <c r="AA307" s="202">
        <f t="shared" si="301"/>
        <v>2.33</v>
      </c>
      <c r="AB307" s="203">
        <f t="shared" si="302"/>
        <v>0.7</v>
      </c>
      <c r="AC307" s="204">
        <f t="shared" si="303"/>
        <v>3.0300000000000002</v>
      </c>
      <c r="AD307" s="205">
        <f t="shared" si="304"/>
        <v>0.16</v>
      </c>
      <c r="AE307" s="206">
        <f t="shared" si="305"/>
        <v>3.1900000000000004</v>
      </c>
      <c r="AG307" s="237" t="s">
        <v>580</v>
      </c>
      <c r="AH307" s="439" t="s">
        <v>515</v>
      </c>
      <c r="AI307" s="439"/>
      <c r="AL307" s="207">
        <f t="shared" si="332"/>
        <v>3.1900000000000004</v>
      </c>
      <c r="AM307" s="207"/>
      <c r="AN307" s="207">
        <f t="shared" si="333"/>
        <v>1.87</v>
      </c>
      <c r="AQ307" s="237" t="s">
        <v>580</v>
      </c>
      <c r="AR307" s="439" t="s">
        <v>515</v>
      </c>
      <c r="AS307" s="439"/>
      <c r="AT307" s="271">
        <v>4</v>
      </c>
      <c r="AU307" s="214">
        <f t="shared" si="323"/>
        <v>0.0606</v>
      </c>
      <c r="AV307" s="269">
        <f t="shared" si="324"/>
        <v>0.24</v>
      </c>
      <c r="AW307" s="269">
        <f t="shared" si="325"/>
        <v>0</v>
      </c>
      <c r="AX307" s="198">
        <f t="shared" si="326"/>
        <v>0.24</v>
      </c>
      <c r="AY307" s="29">
        <v>6</v>
      </c>
      <c r="AZ307" s="214">
        <f t="shared" si="327"/>
        <v>0.0482</v>
      </c>
      <c r="BA307" s="269">
        <f t="shared" si="328"/>
        <v>0.29</v>
      </c>
      <c r="BB307" s="269">
        <f t="shared" si="329"/>
        <v>0</v>
      </c>
      <c r="BC307" s="198">
        <f t="shared" si="330"/>
        <v>0.29</v>
      </c>
      <c r="BD307" s="199">
        <f t="shared" si="331"/>
        <v>0.53</v>
      </c>
      <c r="BE307" s="237" t="s">
        <v>580</v>
      </c>
      <c r="BF307" s="439" t="s">
        <v>515</v>
      </c>
      <c r="BG307" s="439"/>
      <c r="BI307" s="200">
        <f t="shared" si="306"/>
        <v>0.53</v>
      </c>
      <c r="BJ307" s="200">
        <f aca="true" t="shared" si="334" ref="BJ307:BJ327">ROUND(BI307*$S$19,2)</f>
        <v>0.05</v>
      </c>
      <c r="BK307" s="197">
        <f t="shared" si="307"/>
        <v>0.2</v>
      </c>
      <c r="BL307" s="197">
        <f t="shared" si="308"/>
        <v>0</v>
      </c>
      <c r="BM307" s="197">
        <f t="shared" si="309"/>
        <v>0.01</v>
      </c>
      <c r="BN307" s="201">
        <f t="shared" si="310"/>
        <v>0.58</v>
      </c>
      <c r="BO307" s="202">
        <f t="shared" si="311"/>
        <v>1.37</v>
      </c>
      <c r="BP307" s="203">
        <f aca="true" t="shared" si="335" ref="BP307:BP327">ROUND(BO307*$S$21,2)</f>
        <v>0.41</v>
      </c>
      <c r="BQ307" s="204">
        <f t="shared" si="312"/>
        <v>1.78</v>
      </c>
      <c r="BR307" s="205">
        <f aca="true" t="shared" si="336" ref="BR307:BR327">ROUND(BQ307*$AD$19/95,2)</f>
        <v>0.09</v>
      </c>
      <c r="BS307" s="206">
        <f t="shared" si="313"/>
        <v>1.87</v>
      </c>
    </row>
    <row r="308" spans="2:71" ht="19.5" customHeight="1">
      <c r="B308" s="237" t="s">
        <v>581</v>
      </c>
      <c r="C308" s="238" t="s">
        <v>582</v>
      </c>
      <c r="D308" s="78" t="s">
        <v>53</v>
      </c>
      <c r="E308" s="190">
        <v>11</v>
      </c>
      <c r="F308" s="214">
        <f>$G$16</f>
        <v>0.0606</v>
      </c>
      <c r="G308" s="197">
        <f>ROUND(E308*F308,2)</f>
        <v>0.67</v>
      </c>
      <c r="H308" s="197">
        <f>ROUND(G308*($A$16+$A$17)/100,2)</f>
        <v>0</v>
      </c>
      <c r="I308" s="198">
        <f>SUM(G308:H308)</f>
        <v>0.67</v>
      </c>
      <c r="J308" s="257">
        <v>16</v>
      </c>
      <c r="K308" s="214">
        <f>$G$19</f>
        <v>0.0482</v>
      </c>
      <c r="L308" s="197">
        <f>ROUND(J308*K308,2)</f>
        <v>0.77</v>
      </c>
      <c r="M308" s="197">
        <f>ROUND(L308*($A$16+$A$17)/100,2)</f>
        <v>0</v>
      </c>
      <c r="N308" s="198">
        <f>SUM(L308:M308)</f>
        <v>0.77</v>
      </c>
      <c r="O308" s="199">
        <f>SUM(I308,N308)</f>
        <v>1.44</v>
      </c>
      <c r="P308" s="237" t="s">
        <v>581</v>
      </c>
      <c r="Q308" s="439" t="s">
        <v>582</v>
      </c>
      <c r="R308" s="439"/>
      <c r="T308" s="22" t="s">
        <v>54</v>
      </c>
      <c r="U308" s="200">
        <f t="shared" si="295"/>
        <v>1.44</v>
      </c>
      <c r="V308" s="200">
        <f t="shared" si="296"/>
        <v>0.15</v>
      </c>
      <c r="W308" s="197">
        <f t="shared" si="297"/>
        <v>0.54</v>
      </c>
      <c r="X308" s="197">
        <f t="shared" si="298"/>
        <v>0</v>
      </c>
      <c r="Y308" s="197">
        <f t="shared" si="299"/>
        <v>0.02</v>
      </c>
      <c r="Z308" s="201">
        <f t="shared" si="300"/>
        <v>1.58</v>
      </c>
      <c r="AA308" s="202">
        <f t="shared" si="301"/>
        <v>3.73</v>
      </c>
      <c r="AB308" s="203">
        <f t="shared" si="302"/>
        <v>1.12</v>
      </c>
      <c r="AC308" s="204">
        <f t="shared" si="303"/>
        <v>4.85</v>
      </c>
      <c r="AD308" s="205">
        <f t="shared" si="304"/>
        <v>0.26</v>
      </c>
      <c r="AE308" s="206">
        <f t="shared" si="305"/>
        <v>5.109999999999999</v>
      </c>
      <c r="AG308" s="237" t="s">
        <v>581</v>
      </c>
      <c r="AH308" s="439" t="s">
        <v>582</v>
      </c>
      <c r="AI308" s="439"/>
      <c r="AL308" s="207">
        <f t="shared" si="332"/>
        <v>5.109999999999999</v>
      </c>
      <c r="AM308" s="207"/>
      <c r="AN308" s="207">
        <f t="shared" si="333"/>
        <v>3.77</v>
      </c>
      <c r="AQ308" s="237" t="s">
        <v>581</v>
      </c>
      <c r="AR308" s="439" t="s">
        <v>582</v>
      </c>
      <c r="AS308" s="439"/>
      <c r="AT308" s="271">
        <v>8</v>
      </c>
      <c r="AU308" s="214">
        <f t="shared" si="323"/>
        <v>0.0606</v>
      </c>
      <c r="AV308" s="269">
        <f t="shared" si="324"/>
        <v>0.48</v>
      </c>
      <c r="AW308" s="269">
        <f t="shared" si="325"/>
        <v>0</v>
      </c>
      <c r="AX308" s="198">
        <f t="shared" si="326"/>
        <v>0.48</v>
      </c>
      <c r="AY308" s="29">
        <v>12</v>
      </c>
      <c r="AZ308" s="214">
        <f t="shared" si="327"/>
        <v>0.0482</v>
      </c>
      <c r="BA308" s="269">
        <f t="shared" si="328"/>
        <v>0.58</v>
      </c>
      <c r="BB308" s="269">
        <f t="shared" si="329"/>
        <v>0</v>
      </c>
      <c r="BC308" s="198">
        <f t="shared" si="330"/>
        <v>0.58</v>
      </c>
      <c r="BD308" s="199">
        <f t="shared" si="331"/>
        <v>1.06</v>
      </c>
      <c r="BE308" s="237" t="s">
        <v>581</v>
      </c>
      <c r="BF308" s="439" t="s">
        <v>582</v>
      </c>
      <c r="BG308" s="439"/>
      <c r="BI308" s="200">
        <f t="shared" si="306"/>
        <v>1.06</v>
      </c>
      <c r="BJ308" s="200">
        <f t="shared" si="334"/>
        <v>0.11</v>
      </c>
      <c r="BK308" s="197">
        <f t="shared" si="307"/>
        <v>0.4</v>
      </c>
      <c r="BL308" s="197">
        <f t="shared" si="308"/>
        <v>0</v>
      </c>
      <c r="BM308" s="197">
        <f t="shared" si="309"/>
        <v>0.02</v>
      </c>
      <c r="BN308" s="201">
        <f t="shared" si="310"/>
        <v>1.16</v>
      </c>
      <c r="BO308" s="202">
        <f t="shared" si="311"/>
        <v>2.75</v>
      </c>
      <c r="BP308" s="203">
        <f t="shared" si="335"/>
        <v>0.83</v>
      </c>
      <c r="BQ308" s="204">
        <f t="shared" si="312"/>
        <v>3.58</v>
      </c>
      <c r="BR308" s="205">
        <f t="shared" si="336"/>
        <v>0.19</v>
      </c>
      <c r="BS308" s="206">
        <f t="shared" si="313"/>
        <v>3.77</v>
      </c>
    </row>
    <row r="309" spans="2:71" ht="38.25" customHeight="1">
      <c r="B309" s="233" t="s">
        <v>583</v>
      </c>
      <c r="C309" s="234" t="s">
        <v>584</v>
      </c>
      <c r="D309" s="251"/>
      <c r="E309" s="255"/>
      <c r="F309" s="256"/>
      <c r="G309" s="253"/>
      <c r="H309" s="253"/>
      <c r="I309" s="254"/>
      <c r="J309" s="255"/>
      <c r="K309" s="255"/>
      <c r="L309" s="253"/>
      <c r="M309" s="253"/>
      <c r="N309" s="254"/>
      <c r="O309" s="220"/>
      <c r="P309" s="233" t="s">
        <v>583</v>
      </c>
      <c r="Q309" s="442" t="s">
        <v>584</v>
      </c>
      <c r="R309" s="442"/>
      <c r="U309" s="253"/>
      <c r="V309" s="253"/>
      <c r="W309" s="253"/>
      <c r="X309" s="253"/>
      <c r="Y309" s="253"/>
      <c r="Z309" s="253"/>
      <c r="AA309" s="253"/>
      <c r="AB309" s="253"/>
      <c r="AC309" s="253"/>
      <c r="AD309" s="253"/>
      <c r="AE309" s="220"/>
      <c r="AG309" s="233" t="s">
        <v>583</v>
      </c>
      <c r="AH309" s="442" t="s">
        <v>584</v>
      </c>
      <c r="AI309" s="442"/>
      <c r="AL309" s="207"/>
      <c r="AM309" s="207"/>
      <c r="AN309" s="207"/>
      <c r="AQ309" s="233" t="s">
        <v>583</v>
      </c>
      <c r="AR309" s="442" t="s">
        <v>584</v>
      </c>
      <c r="AS309" s="442"/>
      <c r="AT309" s="271"/>
      <c r="AU309" s="256"/>
      <c r="AV309" s="254"/>
      <c r="AW309" s="254"/>
      <c r="AX309" s="254"/>
      <c r="AY309" s="252"/>
      <c r="AZ309" s="256"/>
      <c r="BA309" s="254"/>
      <c r="BB309" s="254"/>
      <c r="BC309" s="254"/>
      <c r="BD309" s="220"/>
      <c r="BE309" s="233" t="s">
        <v>583</v>
      </c>
      <c r="BF309" s="442" t="s">
        <v>584</v>
      </c>
      <c r="BG309" s="442"/>
      <c r="BI309" s="253"/>
      <c r="BJ309" s="253"/>
      <c r="BK309" s="253"/>
      <c r="BL309" s="253"/>
      <c r="BM309" s="253"/>
      <c r="BN309" s="253"/>
      <c r="BO309" s="253"/>
      <c r="BP309" s="253"/>
      <c r="BQ309" s="253"/>
      <c r="BR309" s="253"/>
      <c r="BS309" s="220"/>
    </row>
    <row r="310" spans="2:71" ht="25.5" customHeight="1">
      <c r="B310" s="237" t="s">
        <v>585</v>
      </c>
      <c r="C310" s="238" t="s">
        <v>515</v>
      </c>
      <c r="D310" s="78" t="s">
        <v>53</v>
      </c>
      <c r="E310" s="190">
        <v>4</v>
      </c>
      <c r="F310" s="214">
        <f>$G$16</f>
        <v>0.0606</v>
      </c>
      <c r="G310" s="197">
        <f>ROUND(E310*F310,2)</f>
        <v>0.24</v>
      </c>
      <c r="H310" s="197">
        <f>ROUND(G310*($A$16+$A$17)/100,2)</f>
        <v>0</v>
      </c>
      <c r="I310" s="198">
        <f>SUM(G310:H310)</f>
        <v>0.24</v>
      </c>
      <c r="J310" s="257">
        <v>6</v>
      </c>
      <c r="K310" s="214">
        <f>$G$19</f>
        <v>0.0482</v>
      </c>
      <c r="L310" s="197">
        <f>ROUND(J310*K310,2)</f>
        <v>0.29</v>
      </c>
      <c r="M310" s="197">
        <f>ROUND(L310*($A$16+$A$17)/100,2)</f>
        <v>0</v>
      </c>
      <c r="N310" s="198">
        <f>SUM(L310:M310)</f>
        <v>0.29</v>
      </c>
      <c r="O310" s="199">
        <f>SUM(I310,N310)</f>
        <v>0.53</v>
      </c>
      <c r="P310" s="237" t="s">
        <v>585</v>
      </c>
      <c r="Q310" s="439" t="s">
        <v>515</v>
      </c>
      <c r="R310" s="439"/>
      <c r="T310" s="22" t="s">
        <v>54</v>
      </c>
      <c r="U310" s="200">
        <f t="shared" si="295"/>
        <v>0.53</v>
      </c>
      <c r="V310" s="200">
        <f t="shared" si="296"/>
        <v>0.05</v>
      </c>
      <c r="W310" s="197">
        <f t="shared" si="297"/>
        <v>0.2</v>
      </c>
      <c r="X310" s="197">
        <f t="shared" si="298"/>
        <v>0</v>
      </c>
      <c r="Y310" s="197">
        <f t="shared" si="299"/>
        <v>0.01</v>
      </c>
      <c r="Z310" s="201">
        <f t="shared" si="300"/>
        <v>0.58</v>
      </c>
      <c r="AA310" s="202">
        <f t="shared" si="301"/>
        <v>1.37</v>
      </c>
      <c r="AB310" s="203">
        <f t="shared" si="302"/>
        <v>0.41</v>
      </c>
      <c r="AC310" s="204">
        <f t="shared" si="303"/>
        <v>1.78</v>
      </c>
      <c r="AD310" s="205">
        <f t="shared" si="304"/>
        <v>0.09</v>
      </c>
      <c r="AE310" s="206">
        <f t="shared" si="305"/>
        <v>1.87</v>
      </c>
      <c r="AG310" s="237" t="s">
        <v>585</v>
      </c>
      <c r="AH310" s="439" t="s">
        <v>515</v>
      </c>
      <c r="AI310" s="439"/>
      <c r="AL310" s="207">
        <f t="shared" si="332"/>
        <v>1.87</v>
      </c>
      <c r="AM310" s="207"/>
      <c r="AN310" s="207">
        <f t="shared" si="333"/>
        <v>1.33</v>
      </c>
      <c r="AQ310" s="237" t="s">
        <v>585</v>
      </c>
      <c r="AR310" s="439" t="s">
        <v>515</v>
      </c>
      <c r="AS310" s="439"/>
      <c r="AT310" s="271">
        <v>3</v>
      </c>
      <c r="AU310" s="214">
        <f t="shared" si="323"/>
        <v>0.0606</v>
      </c>
      <c r="AV310" s="269">
        <f t="shared" si="324"/>
        <v>0.18</v>
      </c>
      <c r="AW310" s="269">
        <f t="shared" si="325"/>
        <v>0</v>
      </c>
      <c r="AX310" s="198">
        <f t="shared" si="326"/>
        <v>0.18</v>
      </c>
      <c r="AY310" s="29">
        <v>4</v>
      </c>
      <c r="AZ310" s="214">
        <f t="shared" si="327"/>
        <v>0.0482</v>
      </c>
      <c r="BA310" s="269">
        <f t="shared" si="328"/>
        <v>0.19</v>
      </c>
      <c r="BB310" s="269">
        <f t="shared" si="329"/>
        <v>0</v>
      </c>
      <c r="BC310" s="198">
        <f t="shared" si="330"/>
        <v>0.19</v>
      </c>
      <c r="BD310" s="199">
        <f t="shared" si="331"/>
        <v>0.37</v>
      </c>
      <c r="BE310" s="237" t="s">
        <v>585</v>
      </c>
      <c r="BF310" s="439" t="s">
        <v>515</v>
      </c>
      <c r="BG310" s="439"/>
      <c r="BI310" s="200">
        <f t="shared" si="306"/>
        <v>0.37</v>
      </c>
      <c r="BJ310" s="200">
        <f t="shared" si="334"/>
        <v>0.04</v>
      </c>
      <c r="BK310" s="197">
        <f t="shared" si="307"/>
        <v>0.14</v>
      </c>
      <c r="BL310" s="197">
        <f t="shared" si="308"/>
        <v>0</v>
      </c>
      <c r="BM310" s="197">
        <f t="shared" si="309"/>
        <v>0.01</v>
      </c>
      <c r="BN310" s="201">
        <f t="shared" si="310"/>
        <v>0.41</v>
      </c>
      <c r="BO310" s="202">
        <f t="shared" si="311"/>
        <v>0.97</v>
      </c>
      <c r="BP310" s="203">
        <f t="shared" si="335"/>
        <v>0.29</v>
      </c>
      <c r="BQ310" s="204">
        <f t="shared" si="312"/>
        <v>1.26</v>
      </c>
      <c r="BR310" s="205">
        <f t="shared" si="336"/>
        <v>0.07</v>
      </c>
      <c r="BS310" s="206">
        <f t="shared" si="313"/>
        <v>1.33</v>
      </c>
    </row>
    <row r="311" spans="2:71" ht="30.75" customHeight="1">
      <c r="B311" s="237" t="s">
        <v>586</v>
      </c>
      <c r="C311" s="238" t="s">
        <v>587</v>
      </c>
      <c r="D311" s="78" t="s">
        <v>53</v>
      </c>
      <c r="E311" s="190">
        <v>9</v>
      </c>
      <c r="F311" s="214">
        <f>$G$16</f>
        <v>0.0606</v>
      </c>
      <c r="G311" s="197">
        <f>ROUND(E311*F311,2)</f>
        <v>0.55</v>
      </c>
      <c r="H311" s="197">
        <f>ROUND(G311*($A$16+$A$17)/100,2)</f>
        <v>0</v>
      </c>
      <c r="I311" s="198">
        <f>SUM(G311:H311)</f>
        <v>0.55</v>
      </c>
      <c r="J311" s="257">
        <v>13</v>
      </c>
      <c r="K311" s="214">
        <f>$G$19</f>
        <v>0.0482</v>
      </c>
      <c r="L311" s="197">
        <f>ROUND(J311*K311,2)</f>
        <v>0.63</v>
      </c>
      <c r="M311" s="197">
        <f>ROUND(L311*($A$16+$A$17)/100,2)</f>
        <v>0</v>
      </c>
      <c r="N311" s="198">
        <f>SUM(L311:M311)</f>
        <v>0.63</v>
      </c>
      <c r="O311" s="199">
        <f>SUM(I311,N311)</f>
        <v>1.1800000000000002</v>
      </c>
      <c r="P311" s="237" t="s">
        <v>586</v>
      </c>
      <c r="Q311" s="439" t="s">
        <v>587</v>
      </c>
      <c r="R311" s="439"/>
      <c r="T311" s="22" t="s">
        <v>54</v>
      </c>
      <c r="U311" s="200">
        <f t="shared" si="295"/>
        <v>1.1800000000000002</v>
      </c>
      <c r="V311" s="200">
        <f t="shared" si="296"/>
        <v>0.12</v>
      </c>
      <c r="W311" s="197">
        <f t="shared" si="297"/>
        <v>0.44</v>
      </c>
      <c r="X311" s="197">
        <f t="shared" si="298"/>
        <v>0</v>
      </c>
      <c r="Y311" s="197">
        <f t="shared" si="299"/>
        <v>0.02</v>
      </c>
      <c r="Z311" s="201">
        <f t="shared" si="300"/>
        <v>1.3</v>
      </c>
      <c r="AA311" s="202">
        <f t="shared" si="301"/>
        <v>3.0600000000000005</v>
      </c>
      <c r="AB311" s="203">
        <f t="shared" si="302"/>
        <v>0.92</v>
      </c>
      <c r="AC311" s="204">
        <f t="shared" si="303"/>
        <v>3.9800000000000004</v>
      </c>
      <c r="AD311" s="205">
        <f t="shared" si="304"/>
        <v>0.21</v>
      </c>
      <c r="AE311" s="206">
        <f t="shared" si="305"/>
        <v>4.19</v>
      </c>
      <c r="AG311" s="237" t="s">
        <v>586</v>
      </c>
      <c r="AH311" s="439" t="s">
        <v>587</v>
      </c>
      <c r="AI311" s="439"/>
      <c r="AL311" s="207">
        <f t="shared" si="332"/>
        <v>4.19</v>
      </c>
      <c r="AM311" s="207"/>
      <c r="AN311" s="207">
        <f t="shared" si="333"/>
        <v>3.15</v>
      </c>
      <c r="AQ311" s="237" t="s">
        <v>586</v>
      </c>
      <c r="AR311" s="439" t="s">
        <v>587</v>
      </c>
      <c r="AS311" s="439"/>
      <c r="AT311" s="271">
        <v>6</v>
      </c>
      <c r="AU311" s="214">
        <f t="shared" si="323"/>
        <v>0.0606</v>
      </c>
      <c r="AV311" s="269">
        <f t="shared" si="324"/>
        <v>0.36</v>
      </c>
      <c r="AW311" s="269">
        <f t="shared" si="325"/>
        <v>0</v>
      </c>
      <c r="AX311" s="198">
        <f t="shared" si="326"/>
        <v>0.36</v>
      </c>
      <c r="AY311" s="29">
        <v>11</v>
      </c>
      <c r="AZ311" s="214">
        <f t="shared" si="327"/>
        <v>0.0482</v>
      </c>
      <c r="BA311" s="269">
        <f t="shared" si="328"/>
        <v>0.53</v>
      </c>
      <c r="BB311" s="269">
        <f t="shared" si="329"/>
        <v>0</v>
      </c>
      <c r="BC311" s="198">
        <f t="shared" si="330"/>
        <v>0.53</v>
      </c>
      <c r="BD311" s="199">
        <f t="shared" si="331"/>
        <v>0.89</v>
      </c>
      <c r="BE311" s="237" t="s">
        <v>586</v>
      </c>
      <c r="BF311" s="439" t="s">
        <v>587</v>
      </c>
      <c r="BG311" s="439"/>
      <c r="BI311" s="200">
        <f t="shared" si="306"/>
        <v>0.89</v>
      </c>
      <c r="BJ311" s="200">
        <f t="shared" si="334"/>
        <v>0.09</v>
      </c>
      <c r="BK311" s="197">
        <f t="shared" si="307"/>
        <v>0.33</v>
      </c>
      <c r="BL311" s="197">
        <f t="shared" si="308"/>
        <v>0</v>
      </c>
      <c r="BM311" s="197">
        <f t="shared" si="309"/>
        <v>0.01</v>
      </c>
      <c r="BN311" s="201">
        <f t="shared" si="310"/>
        <v>0.98</v>
      </c>
      <c r="BO311" s="202">
        <f t="shared" si="311"/>
        <v>2.3</v>
      </c>
      <c r="BP311" s="203">
        <f t="shared" si="335"/>
        <v>0.69</v>
      </c>
      <c r="BQ311" s="204">
        <f t="shared" si="312"/>
        <v>2.9899999999999998</v>
      </c>
      <c r="BR311" s="205">
        <f t="shared" si="336"/>
        <v>0.16</v>
      </c>
      <c r="BS311" s="206">
        <f t="shared" si="313"/>
        <v>3.15</v>
      </c>
    </row>
    <row r="312" spans="2:71" ht="18" customHeight="1">
      <c r="B312" s="233" t="s">
        <v>592</v>
      </c>
      <c r="C312" s="234" t="s">
        <v>593</v>
      </c>
      <c r="D312" s="251"/>
      <c r="E312" s="255"/>
      <c r="F312" s="256"/>
      <c r="G312" s="253"/>
      <c r="H312" s="253"/>
      <c r="I312" s="254"/>
      <c r="J312" s="255"/>
      <c r="K312" s="255"/>
      <c r="L312" s="253"/>
      <c r="M312" s="253"/>
      <c r="N312" s="254"/>
      <c r="O312" s="220"/>
      <c r="P312" s="233" t="s">
        <v>592</v>
      </c>
      <c r="Q312" s="442" t="s">
        <v>593</v>
      </c>
      <c r="R312" s="442"/>
      <c r="U312" s="253"/>
      <c r="V312" s="253"/>
      <c r="W312" s="253"/>
      <c r="X312" s="253"/>
      <c r="Y312" s="253"/>
      <c r="Z312" s="253"/>
      <c r="AA312" s="253"/>
      <c r="AB312" s="253"/>
      <c r="AC312" s="253"/>
      <c r="AD312" s="253"/>
      <c r="AE312" s="220"/>
      <c r="AG312" s="233" t="s">
        <v>592</v>
      </c>
      <c r="AH312" s="442" t="s">
        <v>593</v>
      </c>
      <c r="AI312" s="442"/>
      <c r="AL312" s="207"/>
      <c r="AM312" s="207"/>
      <c r="AN312" s="207"/>
      <c r="AQ312" s="233" t="s">
        <v>592</v>
      </c>
      <c r="AR312" s="442" t="s">
        <v>593</v>
      </c>
      <c r="AS312" s="442"/>
      <c r="AT312" s="271"/>
      <c r="AU312" s="256"/>
      <c r="AV312" s="254"/>
      <c r="AW312" s="254"/>
      <c r="AX312" s="254"/>
      <c r="AY312" s="252"/>
      <c r="AZ312" s="256"/>
      <c r="BA312" s="254"/>
      <c r="BB312" s="254"/>
      <c r="BC312" s="254"/>
      <c r="BD312" s="220"/>
      <c r="BE312" s="233" t="s">
        <v>592</v>
      </c>
      <c r="BF312" s="442" t="s">
        <v>593</v>
      </c>
      <c r="BG312" s="442"/>
      <c r="BI312" s="253"/>
      <c r="BJ312" s="253"/>
      <c r="BK312" s="253"/>
      <c r="BL312" s="253"/>
      <c r="BM312" s="253"/>
      <c r="BN312" s="253"/>
      <c r="BO312" s="253"/>
      <c r="BP312" s="253"/>
      <c r="BQ312" s="253"/>
      <c r="BR312" s="253"/>
      <c r="BS312" s="220"/>
    </row>
    <row r="313" spans="2:71" ht="18.75" customHeight="1">
      <c r="B313" s="237" t="s">
        <v>594</v>
      </c>
      <c r="C313" s="238" t="s">
        <v>515</v>
      </c>
      <c r="D313" s="78" t="s">
        <v>53</v>
      </c>
      <c r="E313" s="190">
        <v>4</v>
      </c>
      <c r="F313" s="214">
        <f aca="true" t="shared" si="337" ref="F313:F329">$G$16</f>
        <v>0.0606</v>
      </c>
      <c r="G313" s="197">
        <f aca="true" t="shared" si="338" ref="G313:G327">ROUND(E313*F313,2)</f>
        <v>0.24</v>
      </c>
      <c r="H313" s="197">
        <f aca="true" t="shared" si="339" ref="H313:H327">ROUND(G313*($A$16+$A$17)/100,2)</f>
        <v>0</v>
      </c>
      <c r="I313" s="198">
        <f aca="true" t="shared" si="340" ref="I313:I327">SUM(G313:H313)</f>
        <v>0.24</v>
      </c>
      <c r="J313" s="257">
        <v>8</v>
      </c>
      <c r="K313" s="214">
        <f aca="true" t="shared" si="341" ref="K313:K329">$G$19</f>
        <v>0.0482</v>
      </c>
      <c r="L313" s="197">
        <f aca="true" t="shared" si="342" ref="L313:L327">ROUND(J313*K313,2)</f>
        <v>0.39</v>
      </c>
      <c r="M313" s="197">
        <f aca="true" t="shared" si="343" ref="M313:M327">ROUND(L313*($A$16+$A$17)/100,2)</f>
        <v>0</v>
      </c>
      <c r="N313" s="198">
        <f aca="true" t="shared" si="344" ref="N313:N327">SUM(L313:M313)</f>
        <v>0.39</v>
      </c>
      <c r="O313" s="199">
        <f aca="true" t="shared" si="345" ref="O313:O327">SUM(I313,N313)</f>
        <v>0.63</v>
      </c>
      <c r="P313" s="237" t="s">
        <v>594</v>
      </c>
      <c r="Q313" s="439" t="s">
        <v>515</v>
      </c>
      <c r="R313" s="439"/>
      <c r="T313" s="22" t="s">
        <v>54</v>
      </c>
      <c r="U313" s="200">
        <f aca="true" t="shared" si="346" ref="U313:U353">O313</f>
        <v>0.63</v>
      </c>
      <c r="V313" s="200">
        <f aca="true" t="shared" si="347" ref="V313:V353">ROUND(U313*$S$19,2)</f>
        <v>0.07</v>
      </c>
      <c r="W313" s="197">
        <f aca="true" t="shared" si="348" ref="W313:W353">ROUND(SUM(U313:V313)*$AA$19,2)</f>
        <v>0.24</v>
      </c>
      <c r="X313" s="197">
        <f aca="true" t="shared" si="349" ref="X313:X353">ROUND(SUM(U313:V313)*$AA$21,2)</f>
        <v>0</v>
      </c>
      <c r="Y313" s="197">
        <f aca="true" t="shared" si="350" ref="Y313:Y353">ROUND(SUM(U313:V313)*$AA$20,2)</f>
        <v>0.01</v>
      </c>
      <c r="Z313" s="201">
        <f aca="true" t="shared" si="351" ref="Z313:Z353">ROUND(U313*$S$20,2)</f>
        <v>0.69</v>
      </c>
      <c r="AA313" s="202">
        <f aca="true" t="shared" si="352" ref="AA313:AA353">SUM(U313:Z313)</f>
        <v>1.64</v>
      </c>
      <c r="AB313" s="203">
        <f aca="true" t="shared" si="353" ref="AB313:AB353">ROUND(AA313*$S$21,2)</f>
        <v>0.49</v>
      </c>
      <c r="AC313" s="204">
        <f aca="true" t="shared" si="354" ref="AC313:AC353">SUM(AA313:AB313)</f>
        <v>2.13</v>
      </c>
      <c r="AD313" s="205">
        <f aca="true" t="shared" si="355" ref="AD313:AD353">ROUND(AC313*$AD$19/95,2)</f>
        <v>0.11</v>
      </c>
      <c r="AE313" s="206">
        <f aca="true" t="shared" si="356" ref="AE313:AE353">SUM(AC313:AD313)</f>
        <v>2.2399999999999998</v>
      </c>
      <c r="AG313" s="237" t="s">
        <v>594</v>
      </c>
      <c r="AH313" s="439" t="s">
        <v>515</v>
      </c>
      <c r="AI313" s="439"/>
      <c r="AL313" s="207">
        <f t="shared" si="332"/>
        <v>2.2399999999999998</v>
      </c>
      <c r="AM313" s="207"/>
      <c r="AN313" s="207">
        <f t="shared" si="333"/>
        <v>1.4900000000000002</v>
      </c>
      <c r="AQ313" s="237" t="s">
        <v>594</v>
      </c>
      <c r="AR313" s="439" t="s">
        <v>515</v>
      </c>
      <c r="AS313" s="439"/>
      <c r="AT313" s="271">
        <v>3</v>
      </c>
      <c r="AU313" s="214">
        <f t="shared" si="323"/>
        <v>0.0606</v>
      </c>
      <c r="AV313" s="269">
        <f t="shared" si="324"/>
        <v>0.18</v>
      </c>
      <c r="AW313" s="269">
        <f t="shared" si="325"/>
        <v>0</v>
      </c>
      <c r="AX313" s="198">
        <f t="shared" si="326"/>
        <v>0.18</v>
      </c>
      <c r="AY313" s="29">
        <v>5</v>
      </c>
      <c r="AZ313" s="214">
        <f t="shared" si="327"/>
        <v>0.0482</v>
      </c>
      <c r="BA313" s="269">
        <f t="shared" si="328"/>
        <v>0.24</v>
      </c>
      <c r="BB313" s="269">
        <f t="shared" si="329"/>
        <v>0</v>
      </c>
      <c r="BC313" s="198">
        <f t="shared" si="330"/>
        <v>0.24</v>
      </c>
      <c r="BD313" s="199">
        <f t="shared" si="331"/>
        <v>0.42</v>
      </c>
      <c r="BE313" s="237" t="s">
        <v>594</v>
      </c>
      <c r="BF313" s="439" t="s">
        <v>515</v>
      </c>
      <c r="BG313" s="439"/>
      <c r="BI313" s="200">
        <f aca="true" t="shared" si="357" ref="BI313:BI327">BD313</f>
        <v>0.42</v>
      </c>
      <c r="BJ313" s="200">
        <f t="shared" si="334"/>
        <v>0.04</v>
      </c>
      <c r="BK313" s="197">
        <f aca="true" t="shared" si="358" ref="BK313:BK327">ROUND(SUM(BI313:BJ313)*$AA$19,2)</f>
        <v>0.16</v>
      </c>
      <c r="BL313" s="197">
        <f aca="true" t="shared" si="359" ref="BL313:BL327">ROUND(SUM(BI313:BJ313)*$AA$21,2)</f>
        <v>0</v>
      </c>
      <c r="BM313" s="197">
        <f aca="true" t="shared" si="360" ref="BM313:BM327">ROUND(SUM(BI313:BJ313)*$AA$20,2)</f>
        <v>0.01</v>
      </c>
      <c r="BN313" s="201">
        <f aca="true" t="shared" si="361" ref="BN313:BN327">ROUND(BI313*$S$20,2)</f>
        <v>0.46</v>
      </c>
      <c r="BO313" s="202">
        <f aca="true" t="shared" si="362" ref="BO313:BO327">SUM(BI313:BN313)</f>
        <v>1.09</v>
      </c>
      <c r="BP313" s="203">
        <f t="shared" si="335"/>
        <v>0.33</v>
      </c>
      <c r="BQ313" s="204">
        <f aca="true" t="shared" si="363" ref="BQ313:BQ327">SUM(BO313:BP313)</f>
        <v>1.4200000000000002</v>
      </c>
      <c r="BR313" s="205">
        <f t="shared" si="336"/>
        <v>0.07</v>
      </c>
      <c r="BS313" s="206">
        <f aca="true" t="shared" si="364" ref="BS313:BS327">SUM(BQ313:BR313)</f>
        <v>1.4900000000000002</v>
      </c>
    </row>
    <row r="314" spans="2:71" ht="27" customHeight="1">
      <c r="B314" s="237" t="s">
        <v>595</v>
      </c>
      <c r="C314" s="238" t="s">
        <v>587</v>
      </c>
      <c r="D314" s="78" t="s">
        <v>53</v>
      </c>
      <c r="E314" s="190">
        <v>7</v>
      </c>
      <c r="F314" s="214">
        <f t="shared" si="337"/>
        <v>0.0606</v>
      </c>
      <c r="G314" s="197">
        <f t="shared" si="338"/>
        <v>0.42</v>
      </c>
      <c r="H314" s="197">
        <f t="shared" si="339"/>
        <v>0</v>
      </c>
      <c r="I314" s="198">
        <f t="shared" si="340"/>
        <v>0.42</v>
      </c>
      <c r="J314" s="257">
        <v>13</v>
      </c>
      <c r="K314" s="214">
        <f t="shared" si="341"/>
        <v>0.0482</v>
      </c>
      <c r="L314" s="197">
        <f t="shared" si="342"/>
        <v>0.63</v>
      </c>
      <c r="M314" s="197">
        <f t="shared" si="343"/>
        <v>0</v>
      </c>
      <c r="N314" s="198">
        <f t="shared" si="344"/>
        <v>0.63</v>
      </c>
      <c r="O314" s="199">
        <f t="shared" si="345"/>
        <v>1.05</v>
      </c>
      <c r="P314" s="237" t="s">
        <v>595</v>
      </c>
      <c r="Q314" s="439" t="s">
        <v>587</v>
      </c>
      <c r="R314" s="439"/>
      <c r="T314" s="22" t="s">
        <v>54</v>
      </c>
      <c r="U314" s="200">
        <f t="shared" si="346"/>
        <v>1.05</v>
      </c>
      <c r="V314" s="200">
        <f t="shared" si="347"/>
        <v>0.11</v>
      </c>
      <c r="W314" s="197">
        <f t="shared" si="348"/>
        <v>0.39</v>
      </c>
      <c r="X314" s="197">
        <f t="shared" si="349"/>
        <v>0</v>
      </c>
      <c r="Y314" s="197">
        <f t="shared" si="350"/>
        <v>0.02</v>
      </c>
      <c r="Z314" s="201">
        <f t="shared" si="351"/>
        <v>1.15</v>
      </c>
      <c r="AA314" s="202">
        <f t="shared" si="352"/>
        <v>2.72</v>
      </c>
      <c r="AB314" s="203">
        <f t="shared" si="353"/>
        <v>0.82</v>
      </c>
      <c r="AC314" s="204">
        <f t="shared" si="354"/>
        <v>3.54</v>
      </c>
      <c r="AD314" s="205">
        <f t="shared" si="355"/>
        <v>0.19</v>
      </c>
      <c r="AE314" s="206">
        <f t="shared" si="356"/>
        <v>3.73</v>
      </c>
      <c r="AG314" s="237" t="s">
        <v>595</v>
      </c>
      <c r="AH314" s="439" t="s">
        <v>587</v>
      </c>
      <c r="AI314" s="439"/>
      <c r="AL314" s="207">
        <f t="shared" si="332"/>
        <v>3.73</v>
      </c>
      <c r="AM314" s="207"/>
      <c r="AN314" s="207">
        <f t="shared" si="333"/>
        <v>2.55</v>
      </c>
      <c r="AQ314" s="237" t="s">
        <v>595</v>
      </c>
      <c r="AR314" s="439" t="s">
        <v>587</v>
      </c>
      <c r="AS314" s="439"/>
      <c r="AT314" s="271">
        <v>4</v>
      </c>
      <c r="AU314" s="214">
        <f t="shared" si="323"/>
        <v>0.0606</v>
      </c>
      <c r="AV314" s="269">
        <f t="shared" si="324"/>
        <v>0.24</v>
      </c>
      <c r="AW314" s="269">
        <f t="shared" si="325"/>
        <v>0</v>
      </c>
      <c r="AX314" s="198">
        <f t="shared" si="326"/>
        <v>0.24</v>
      </c>
      <c r="AY314" s="29">
        <v>10</v>
      </c>
      <c r="AZ314" s="214">
        <f t="shared" si="327"/>
        <v>0.0482</v>
      </c>
      <c r="BA314" s="269">
        <f t="shared" si="328"/>
        <v>0.48</v>
      </c>
      <c r="BB314" s="269">
        <f t="shared" si="329"/>
        <v>0</v>
      </c>
      <c r="BC314" s="198">
        <f t="shared" si="330"/>
        <v>0.48</v>
      </c>
      <c r="BD314" s="199">
        <f t="shared" si="331"/>
        <v>0.72</v>
      </c>
      <c r="BE314" s="237" t="s">
        <v>595</v>
      </c>
      <c r="BF314" s="439" t="s">
        <v>587</v>
      </c>
      <c r="BG314" s="439"/>
      <c r="BI314" s="200">
        <f t="shared" si="357"/>
        <v>0.72</v>
      </c>
      <c r="BJ314" s="200">
        <f t="shared" si="334"/>
        <v>0.07</v>
      </c>
      <c r="BK314" s="197">
        <f t="shared" si="358"/>
        <v>0.27</v>
      </c>
      <c r="BL314" s="197">
        <f t="shared" si="359"/>
        <v>0</v>
      </c>
      <c r="BM314" s="197">
        <f t="shared" si="360"/>
        <v>0.01</v>
      </c>
      <c r="BN314" s="201">
        <f t="shared" si="361"/>
        <v>0.79</v>
      </c>
      <c r="BO314" s="202">
        <f t="shared" si="362"/>
        <v>1.86</v>
      </c>
      <c r="BP314" s="203">
        <f t="shared" si="335"/>
        <v>0.56</v>
      </c>
      <c r="BQ314" s="204">
        <f t="shared" si="363"/>
        <v>2.42</v>
      </c>
      <c r="BR314" s="205">
        <f t="shared" si="336"/>
        <v>0.13</v>
      </c>
      <c r="BS314" s="206">
        <f t="shared" si="364"/>
        <v>2.55</v>
      </c>
    </row>
    <row r="315" spans="2:71" ht="15.75" customHeight="1">
      <c r="B315" s="237" t="s">
        <v>1040</v>
      </c>
      <c r="C315" s="274" t="s">
        <v>1047</v>
      </c>
      <c r="D315" s="78" t="s">
        <v>53</v>
      </c>
      <c r="E315" s="190">
        <v>15</v>
      </c>
      <c r="F315" s="214">
        <f t="shared" si="337"/>
        <v>0.0606</v>
      </c>
      <c r="G315" s="197">
        <f t="shared" si="338"/>
        <v>0.91</v>
      </c>
      <c r="H315" s="197">
        <f t="shared" si="339"/>
        <v>0</v>
      </c>
      <c r="I315" s="198">
        <f t="shared" si="340"/>
        <v>0.91</v>
      </c>
      <c r="J315" s="257">
        <v>17</v>
      </c>
      <c r="K315" s="214">
        <f t="shared" si="341"/>
        <v>0.0482</v>
      </c>
      <c r="L315" s="197">
        <f t="shared" si="342"/>
        <v>0.82</v>
      </c>
      <c r="M315" s="197">
        <f t="shared" si="343"/>
        <v>0</v>
      </c>
      <c r="N315" s="198">
        <f t="shared" si="344"/>
        <v>0.82</v>
      </c>
      <c r="O315" s="199">
        <f t="shared" si="345"/>
        <v>1.73</v>
      </c>
      <c r="P315" s="237" t="s">
        <v>1040</v>
      </c>
      <c r="Q315" s="462" t="s">
        <v>1047</v>
      </c>
      <c r="R315" s="462"/>
      <c r="T315" s="22" t="s">
        <v>54</v>
      </c>
      <c r="U315" s="200">
        <f t="shared" si="346"/>
        <v>1.73</v>
      </c>
      <c r="V315" s="200">
        <f t="shared" si="347"/>
        <v>0.18</v>
      </c>
      <c r="W315" s="197">
        <f t="shared" si="348"/>
        <v>0.65</v>
      </c>
      <c r="X315" s="197">
        <f t="shared" si="349"/>
        <v>0</v>
      </c>
      <c r="Y315" s="197">
        <f t="shared" si="350"/>
        <v>0.03</v>
      </c>
      <c r="Z315" s="201">
        <f t="shared" si="351"/>
        <v>1.9</v>
      </c>
      <c r="AA315" s="202">
        <f t="shared" si="352"/>
        <v>4.49</v>
      </c>
      <c r="AB315" s="203">
        <f t="shared" si="353"/>
        <v>1.35</v>
      </c>
      <c r="AC315" s="204">
        <f t="shared" si="354"/>
        <v>5.84</v>
      </c>
      <c r="AD315" s="205">
        <f t="shared" si="355"/>
        <v>0.31</v>
      </c>
      <c r="AE315" s="206">
        <f t="shared" si="356"/>
        <v>6.1499999999999995</v>
      </c>
      <c r="AG315" s="237" t="s">
        <v>1040</v>
      </c>
      <c r="AH315" s="274" t="s">
        <v>1047</v>
      </c>
      <c r="AI315" s="274"/>
      <c r="AL315" s="207">
        <f t="shared" si="332"/>
        <v>6.1499999999999995</v>
      </c>
      <c r="AM315" s="207"/>
      <c r="AN315" s="207">
        <f t="shared" si="333"/>
        <v>3.6600000000000006</v>
      </c>
      <c r="AQ315" s="237" t="s">
        <v>1040</v>
      </c>
      <c r="AR315" s="274" t="s">
        <v>1047</v>
      </c>
      <c r="AS315" s="274"/>
      <c r="AT315" s="271">
        <v>9</v>
      </c>
      <c r="AU315" s="214">
        <f t="shared" si="323"/>
        <v>0.0606</v>
      </c>
      <c r="AV315" s="269">
        <f t="shared" si="324"/>
        <v>0.55</v>
      </c>
      <c r="AW315" s="269">
        <f t="shared" si="325"/>
        <v>0</v>
      </c>
      <c r="AX315" s="198">
        <f t="shared" si="326"/>
        <v>0.55</v>
      </c>
      <c r="AY315" s="29">
        <v>10</v>
      </c>
      <c r="AZ315" s="214">
        <f t="shared" si="327"/>
        <v>0.0482</v>
      </c>
      <c r="BA315" s="269">
        <f t="shared" si="328"/>
        <v>0.48</v>
      </c>
      <c r="BB315" s="269">
        <f t="shared" si="329"/>
        <v>0</v>
      </c>
      <c r="BC315" s="198">
        <f t="shared" si="330"/>
        <v>0.48</v>
      </c>
      <c r="BD315" s="199">
        <f t="shared" si="331"/>
        <v>1.03</v>
      </c>
      <c r="BE315" s="237" t="s">
        <v>1040</v>
      </c>
      <c r="BF315" s="274" t="s">
        <v>1047</v>
      </c>
      <c r="BG315" s="274"/>
      <c r="BI315" s="200">
        <f t="shared" si="357"/>
        <v>1.03</v>
      </c>
      <c r="BJ315" s="200">
        <f t="shared" si="334"/>
        <v>0.11</v>
      </c>
      <c r="BK315" s="197">
        <f t="shared" si="358"/>
        <v>0.39</v>
      </c>
      <c r="BL315" s="197">
        <f t="shared" si="359"/>
        <v>0</v>
      </c>
      <c r="BM315" s="197">
        <f t="shared" si="360"/>
        <v>0.02</v>
      </c>
      <c r="BN315" s="201">
        <f t="shared" si="361"/>
        <v>1.13</v>
      </c>
      <c r="BO315" s="202">
        <f t="shared" si="362"/>
        <v>2.68</v>
      </c>
      <c r="BP315" s="203">
        <f t="shared" si="335"/>
        <v>0.8</v>
      </c>
      <c r="BQ315" s="204">
        <f t="shared" si="363"/>
        <v>3.4800000000000004</v>
      </c>
      <c r="BR315" s="205">
        <f t="shared" si="336"/>
        <v>0.18</v>
      </c>
      <c r="BS315" s="206">
        <f t="shared" si="364"/>
        <v>3.6600000000000006</v>
      </c>
    </row>
    <row r="316" spans="2:71" ht="24" customHeight="1">
      <c r="B316" s="237" t="s">
        <v>1041</v>
      </c>
      <c r="C316" s="363" t="s">
        <v>1048</v>
      </c>
      <c r="D316" s="78" t="s">
        <v>53</v>
      </c>
      <c r="E316" s="190">
        <v>5</v>
      </c>
      <c r="F316" s="214">
        <f t="shared" si="337"/>
        <v>0.0606</v>
      </c>
      <c r="G316" s="197">
        <f aca="true" t="shared" si="365" ref="G316:G322">ROUND(E316*F316,2)</f>
        <v>0.3</v>
      </c>
      <c r="H316" s="197">
        <f aca="true" t="shared" si="366" ref="H316:H322">ROUND(G316*($A$16+$A$17)/100,2)</f>
        <v>0</v>
      </c>
      <c r="I316" s="198">
        <f aca="true" t="shared" si="367" ref="I316:I322">SUM(G316:H316)</f>
        <v>0.3</v>
      </c>
      <c r="J316" s="257">
        <v>10</v>
      </c>
      <c r="K316" s="214">
        <f t="shared" si="341"/>
        <v>0.0482</v>
      </c>
      <c r="L316" s="197">
        <f aca="true" t="shared" si="368" ref="L316:L322">ROUND(J316*K316,2)</f>
        <v>0.48</v>
      </c>
      <c r="M316" s="197">
        <f aca="true" t="shared" si="369" ref="M316:M322">ROUND(L316*($A$16+$A$17)/100,2)</f>
        <v>0</v>
      </c>
      <c r="N316" s="198">
        <f aca="true" t="shared" si="370" ref="N316:N322">SUM(L316:M316)</f>
        <v>0.48</v>
      </c>
      <c r="O316" s="199">
        <f aca="true" t="shared" si="371" ref="O316:O322">SUM(I316,N316)</f>
        <v>0.78</v>
      </c>
      <c r="P316" s="237" t="s">
        <v>1041</v>
      </c>
      <c r="Q316" s="438" t="s">
        <v>1048</v>
      </c>
      <c r="R316" s="438"/>
      <c r="T316" s="22" t="s">
        <v>54</v>
      </c>
      <c r="U316" s="200">
        <f aca="true" t="shared" si="372" ref="U316:U322">O316</f>
        <v>0.78</v>
      </c>
      <c r="V316" s="200">
        <f aca="true" t="shared" si="373" ref="V316:V322">ROUND(U316*$S$19,2)</f>
        <v>0.08</v>
      </c>
      <c r="W316" s="197">
        <f aca="true" t="shared" si="374" ref="W316:W322">ROUND(SUM(U316:V316)*$AA$19,2)</f>
        <v>0.29</v>
      </c>
      <c r="X316" s="197">
        <f aca="true" t="shared" si="375" ref="X316:X322">ROUND(SUM(U316:V316)*$AA$21,2)</f>
        <v>0</v>
      </c>
      <c r="Y316" s="197">
        <f aca="true" t="shared" si="376" ref="Y316:Y322">ROUND(SUM(U316:V316)*$AA$20,2)</f>
        <v>0.01</v>
      </c>
      <c r="Z316" s="201">
        <f aca="true" t="shared" si="377" ref="Z316:Z322">ROUND(U316*$S$20,2)</f>
        <v>0.86</v>
      </c>
      <c r="AA316" s="202">
        <f aca="true" t="shared" si="378" ref="AA316:AA322">SUM(U316:Z316)</f>
        <v>2.02</v>
      </c>
      <c r="AB316" s="203">
        <f aca="true" t="shared" si="379" ref="AB316:AB322">ROUND(AA316*$S$21,2)</f>
        <v>0.61</v>
      </c>
      <c r="AC316" s="204">
        <f aca="true" t="shared" si="380" ref="AC316:AC322">SUM(AA316:AB316)</f>
        <v>2.63</v>
      </c>
      <c r="AD316" s="205">
        <f aca="true" t="shared" si="381" ref="AD316:AD322">ROUND(AC316*$AD$19/95,2)</f>
        <v>0.14</v>
      </c>
      <c r="AE316" s="206">
        <f aca="true" t="shared" si="382" ref="AE316:AE322">SUM(AC316:AD316)</f>
        <v>2.77</v>
      </c>
      <c r="AG316" s="237" t="s">
        <v>1041</v>
      </c>
      <c r="AH316" s="363" t="s">
        <v>1048</v>
      </c>
      <c r="AI316" s="363"/>
      <c r="AL316" s="207">
        <f aca="true" t="shared" si="383" ref="AL316:AL322">AE316</f>
        <v>2.77</v>
      </c>
      <c r="AM316" s="207"/>
      <c r="AN316" s="207">
        <f aca="true" t="shared" si="384" ref="AN316:AN322">BS316</f>
        <v>1.6800000000000002</v>
      </c>
      <c r="AQ316" s="237" t="s">
        <v>1041</v>
      </c>
      <c r="AR316" s="363" t="s">
        <v>1048</v>
      </c>
      <c r="AS316" s="363"/>
      <c r="AT316" s="271">
        <v>3</v>
      </c>
      <c r="AU316" s="214">
        <f t="shared" si="323"/>
        <v>0.0606</v>
      </c>
      <c r="AV316" s="269">
        <f aca="true" t="shared" si="385" ref="AV316:AV322">ROUND(AT316*AU316,2)</f>
        <v>0.18</v>
      </c>
      <c r="AW316" s="269">
        <f aca="true" t="shared" si="386" ref="AW316:AW322">ROUND(AV316*($A$16+$A$17)/100,2)</f>
        <v>0</v>
      </c>
      <c r="AX316" s="198">
        <f aca="true" t="shared" si="387" ref="AX316:AX322">SUM(AV316:AW316)</f>
        <v>0.18</v>
      </c>
      <c r="AY316" s="29">
        <v>6</v>
      </c>
      <c r="AZ316" s="214">
        <f t="shared" si="327"/>
        <v>0.0482</v>
      </c>
      <c r="BA316" s="269">
        <f aca="true" t="shared" si="388" ref="BA316:BA322">ROUND(AY316*AZ316,2)</f>
        <v>0.29</v>
      </c>
      <c r="BB316" s="269">
        <f aca="true" t="shared" si="389" ref="BB316:BB322">ROUND(BA316*($A$16+$A$17)/100,2)</f>
        <v>0</v>
      </c>
      <c r="BC316" s="198">
        <f aca="true" t="shared" si="390" ref="BC316:BC322">SUM(BA316:BB316)</f>
        <v>0.29</v>
      </c>
      <c r="BD316" s="199">
        <f aca="true" t="shared" si="391" ref="BD316:BD322">SUM(AX316,BC316)</f>
        <v>0.47</v>
      </c>
      <c r="BE316" s="237" t="s">
        <v>1041</v>
      </c>
      <c r="BF316" s="363" t="s">
        <v>1048</v>
      </c>
      <c r="BG316" s="363"/>
      <c r="BI316" s="200">
        <f aca="true" t="shared" si="392" ref="BI316:BI322">BD316</f>
        <v>0.47</v>
      </c>
      <c r="BJ316" s="200">
        <f aca="true" t="shared" si="393" ref="BJ316:BJ322">ROUND(BI316*$S$19,2)</f>
        <v>0.05</v>
      </c>
      <c r="BK316" s="197">
        <f aca="true" t="shared" si="394" ref="BK316:BK322">ROUND(SUM(BI316:BJ316)*$AA$19,2)</f>
        <v>0.18</v>
      </c>
      <c r="BL316" s="197">
        <f aca="true" t="shared" si="395" ref="BL316:BL322">ROUND(SUM(BI316:BJ316)*$AA$21,2)</f>
        <v>0</v>
      </c>
      <c r="BM316" s="197">
        <f aca="true" t="shared" si="396" ref="BM316:BM322">ROUND(SUM(BI316:BJ316)*$AA$20,2)</f>
        <v>0.01</v>
      </c>
      <c r="BN316" s="201">
        <f aca="true" t="shared" si="397" ref="BN316:BN322">ROUND(BI316*$S$20,2)</f>
        <v>0.52</v>
      </c>
      <c r="BO316" s="202">
        <f aca="true" t="shared" si="398" ref="BO316:BO322">SUM(BI316:BN316)</f>
        <v>1.23</v>
      </c>
      <c r="BP316" s="203">
        <f aca="true" t="shared" si="399" ref="BP316:BP322">ROUND(BO316*$S$21,2)</f>
        <v>0.37</v>
      </c>
      <c r="BQ316" s="204">
        <f aca="true" t="shared" si="400" ref="BQ316:BQ322">SUM(BO316:BP316)</f>
        <v>1.6</v>
      </c>
      <c r="BR316" s="205">
        <f aca="true" t="shared" si="401" ref="BR316:BR322">ROUND(BQ316*$AD$19/95,2)</f>
        <v>0.08</v>
      </c>
      <c r="BS316" s="206">
        <f aca="true" t="shared" si="402" ref="BS316:BS322">SUM(BQ316:BR316)</f>
        <v>1.6800000000000002</v>
      </c>
    </row>
    <row r="317" spans="2:71" ht="21" customHeight="1">
      <c r="B317" s="237" t="s">
        <v>1042</v>
      </c>
      <c r="C317" s="282" t="s">
        <v>1049</v>
      </c>
      <c r="D317" s="78" t="s">
        <v>53</v>
      </c>
      <c r="E317" s="190">
        <v>7</v>
      </c>
      <c r="F317" s="214">
        <f t="shared" si="337"/>
        <v>0.0606</v>
      </c>
      <c r="G317" s="197">
        <f t="shared" si="365"/>
        <v>0.42</v>
      </c>
      <c r="H317" s="197">
        <f t="shared" si="366"/>
        <v>0</v>
      </c>
      <c r="I317" s="198">
        <f t="shared" si="367"/>
        <v>0.42</v>
      </c>
      <c r="J317" s="257">
        <v>13</v>
      </c>
      <c r="K317" s="214">
        <f t="shared" si="341"/>
        <v>0.0482</v>
      </c>
      <c r="L317" s="197">
        <f t="shared" si="368"/>
        <v>0.63</v>
      </c>
      <c r="M317" s="197">
        <f t="shared" si="369"/>
        <v>0</v>
      </c>
      <c r="N317" s="198">
        <f t="shared" si="370"/>
        <v>0.63</v>
      </c>
      <c r="O317" s="199">
        <f t="shared" si="371"/>
        <v>1.05</v>
      </c>
      <c r="P317" s="237" t="s">
        <v>1042</v>
      </c>
      <c r="Q317" s="282" t="s">
        <v>1049</v>
      </c>
      <c r="R317" s="282"/>
      <c r="T317" s="22" t="s">
        <v>54</v>
      </c>
      <c r="U317" s="200">
        <f t="shared" si="372"/>
        <v>1.05</v>
      </c>
      <c r="V317" s="200">
        <f t="shared" si="373"/>
        <v>0.11</v>
      </c>
      <c r="W317" s="197">
        <f t="shared" si="374"/>
        <v>0.39</v>
      </c>
      <c r="X317" s="197">
        <f t="shared" si="375"/>
        <v>0</v>
      </c>
      <c r="Y317" s="197">
        <f t="shared" si="376"/>
        <v>0.02</v>
      </c>
      <c r="Z317" s="201">
        <f t="shared" si="377"/>
        <v>1.15</v>
      </c>
      <c r="AA317" s="202">
        <f t="shared" si="378"/>
        <v>2.72</v>
      </c>
      <c r="AB317" s="203">
        <f t="shared" si="379"/>
        <v>0.82</v>
      </c>
      <c r="AC317" s="204">
        <f t="shared" si="380"/>
        <v>3.54</v>
      </c>
      <c r="AD317" s="205">
        <f t="shared" si="381"/>
        <v>0.19</v>
      </c>
      <c r="AE317" s="206">
        <f t="shared" si="382"/>
        <v>3.73</v>
      </c>
      <c r="AG317" s="237" t="s">
        <v>1042</v>
      </c>
      <c r="AH317" s="282" t="s">
        <v>1049</v>
      </c>
      <c r="AI317" s="282"/>
      <c r="AL317" s="207">
        <f t="shared" si="383"/>
        <v>3.73</v>
      </c>
      <c r="AM317" s="207"/>
      <c r="AN317" s="207">
        <f t="shared" si="384"/>
        <v>2.2399999999999998</v>
      </c>
      <c r="AQ317" s="237" t="s">
        <v>1042</v>
      </c>
      <c r="AR317" s="282" t="s">
        <v>1049</v>
      </c>
      <c r="AS317" s="282"/>
      <c r="AT317" s="271">
        <v>4</v>
      </c>
      <c r="AU317" s="214">
        <f t="shared" si="323"/>
        <v>0.0606</v>
      </c>
      <c r="AV317" s="269">
        <f t="shared" si="385"/>
        <v>0.24</v>
      </c>
      <c r="AW317" s="269">
        <f t="shared" si="386"/>
        <v>0</v>
      </c>
      <c r="AX317" s="198">
        <f t="shared" si="387"/>
        <v>0.24</v>
      </c>
      <c r="AY317" s="29">
        <v>8</v>
      </c>
      <c r="AZ317" s="214">
        <f t="shared" si="327"/>
        <v>0.0482</v>
      </c>
      <c r="BA317" s="269">
        <f t="shared" si="388"/>
        <v>0.39</v>
      </c>
      <c r="BB317" s="269">
        <f t="shared" si="389"/>
        <v>0</v>
      </c>
      <c r="BC317" s="198">
        <f t="shared" si="390"/>
        <v>0.39</v>
      </c>
      <c r="BD317" s="199">
        <f t="shared" si="391"/>
        <v>0.63</v>
      </c>
      <c r="BE317" s="237" t="s">
        <v>1042</v>
      </c>
      <c r="BF317" s="282" t="s">
        <v>1049</v>
      </c>
      <c r="BG317" s="282"/>
      <c r="BI317" s="200">
        <f t="shared" si="392"/>
        <v>0.63</v>
      </c>
      <c r="BJ317" s="200">
        <f t="shared" si="393"/>
        <v>0.07</v>
      </c>
      <c r="BK317" s="197">
        <f t="shared" si="394"/>
        <v>0.24</v>
      </c>
      <c r="BL317" s="197">
        <f t="shared" si="395"/>
        <v>0</v>
      </c>
      <c r="BM317" s="197">
        <f t="shared" si="396"/>
        <v>0.01</v>
      </c>
      <c r="BN317" s="201">
        <f t="shared" si="397"/>
        <v>0.69</v>
      </c>
      <c r="BO317" s="202">
        <f t="shared" si="398"/>
        <v>1.64</v>
      </c>
      <c r="BP317" s="203">
        <f t="shared" si="399"/>
        <v>0.49</v>
      </c>
      <c r="BQ317" s="204">
        <f t="shared" si="400"/>
        <v>2.13</v>
      </c>
      <c r="BR317" s="205">
        <f t="shared" si="401"/>
        <v>0.11</v>
      </c>
      <c r="BS317" s="206">
        <f t="shared" si="402"/>
        <v>2.2399999999999998</v>
      </c>
    </row>
    <row r="318" spans="2:71" ht="15.75" customHeight="1">
      <c r="B318" s="233" t="s">
        <v>1050</v>
      </c>
      <c r="C318" s="362" t="s">
        <v>1051</v>
      </c>
      <c r="D318" s="251"/>
      <c r="E318" s="255"/>
      <c r="F318" s="256"/>
      <c r="G318" s="253"/>
      <c r="H318" s="253"/>
      <c r="I318" s="254"/>
      <c r="J318" s="255"/>
      <c r="K318" s="255"/>
      <c r="L318" s="253"/>
      <c r="M318" s="253"/>
      <c r="N318" s="254"/>
      <c r="O318" s="220"/>
      <c r="P318" s="233" t="s">
        <v>1050</v>
      </c>
      <c r="Q318" s="444" t="s">
        <v>1051</v>
      </c>
      <c r="R318" s="444"/>
      <c r="U318" s="253"/>
      <c r="V318" s="253"/>
      <c r="W318" s="253"/>
      <c r="X318" s="253"/>
      <c r="Y318" s="253"/>
      <c r="Z318" s="253"/>
      <c r="AA318" s="253"/>
      <c r="AB318" s="253"/>
      <c r="AC318" s="253"/>
      <c r="AD318" s="253"/>
      <c r="AE318" s="220"/>
      <c r="AG318" s="233" t="s">
        <v>1050</v>
      </c>
      <c r="AH318" s="362" t="s">
        <v>1051</v>
      </c>
      <c r="AI318" s="362"/>
      <c r="AL318" s="207"/>
      <c r="AM318" s="207"/>
      <c r="AN318" s="207"/>
      <c r="AQ318" s="233" t="s">
        <v>1050</v>
      </c>
      <c r="AR318" s="362" t="s">
        <v>1051</v>
      </c>
      <c r="AS318" s="362"/>
      <c r="AT318" s="271"/>
      <c r="AU318" s="256"/>
      <c r="AV318" s="254"/>
      <c r="AW318" s="254"/>
      <c r="AX318" s="254"/>
      <c r="AY318" s="252"/>
      <c r="AZ318" s="256"/>
      <c r="BA318" s="254"/>
      <c r="BB318" s="254"/>
      <c r="BC318" s="254"/>
      <c r="BD318" s="220"/>
      <c r="BE318" s="233" t="s">
        <v>1050</v>
      </c>
      <c r="BF318" s="362" t="s">
        <v>1051</v>
      </c>
      <c r="BG318" s="362"/>
      <c r="BI318" s="253"/>
      <c r="BJ318" s="253"/>
      <c r="BK318" s="253"/>
      <c r="BL318" s="253"/>
      <c r="BM318" s="253"/>
      <c r="BN318" s="253"/>
      <c r="BO318" s="253"/>
      <c r="BP318" s="253"/>
      <c r="BQ318" s="253"/>
      <c r="BR318" s="253"/>
      <c r="BS318" s="220"/>
    </row>
    <row r="319" spans="2:71" ht="21" customHeight="1">
      <c r="B319" s="237" t="s">
        <v>1043</v>
      </c>
      <c r="C319" s="274" t="s">
        <v>515</v>
      </c>
      <c r="D319" s="78" t="s">
        <v>53</v>
      </c>
      <c r="E319" s="190">
        <v>2</v>
      </c>
      <c r="F319" s="214">
        <f t="shared" si="337"/>
        <v>0.0606</v>
      </c>
      <c r="G319" s="197">
        <f>ROUND(E319*F319,2)</f>
        <v>0.12</v>
      </c>
      <c r="H319" s="197">
        <f>ROUND(G319*($A$16+$A$17)/100,2)</f>
        <v>0</v>
      </c>
      <c r="I319" s="198">
        <f>SUM(G319:H319)</f>
        <v>0.12</v>
      </c>
      <c r="J319" s="257">
        <v>7</v>
      </c>
      <c r="K319" s="214">
        <f t="shared" si="341"/>
        <v>0.0482</v>
      </c>
      <c r="L319" s="197">
        <f>ROUND(J319*K319,2)</f>
        <v>0.34</v>
      </c>
      <c r="M319" s="197">
        <f>ROUND(L319*($A$16+$A$17)/100,2)</f>
        <v>0</v>
      </c>
      <c r="N319" s="198">
        <f>SUM(L319:M319)</f>
        <v>0.34</v>
      </c>
      <c r="O319" s="199">
        <f>SUM(I319,N319)</f>
        <v>0.46</v>
      </c>
      <c r="P319" s="237" t="s">
        <v>1043</v>
      </c>
      <c r="Q319" s="274" t="s">
        <v>515</v>
      </c>
      <c r="R319" s="274"/>
      <c r="T319" s="22" t="s">
        <v>54</v>
      </c>
      <c r="U319" s="200">
        <f>O319</f>
        <v>0.46</v>
      </c>
      <c r="V319" s="200">
        <f>ROUND(U319*$S$19,2)</f>
        <v>0.05</v>
      </c>
      <c r="W319" s="197">
        <f>ROUND(SUM(U319:V319)*$AA$19,2)</f>
        <v>0.17</v>
      </c>
      <c r="X319" s="197">
        <f>ROUND(SUM(U319:V319)*$AA$21,2)</f>
        <v>0</v>
      </c>
      <c r="Y319" s="197">
        <f>ROUND(SUM(U319:V319)*$AA$20,2)</f>
        <v>0.01</v>
      </c>
      <c r="Z319" s="201">
        <f>ROUND(U319*$S$20,2)</f>
        <v>0.5</v>
      </c>
      <c r="AA319" s="202">
        <f>SUM(U319:Z319)</f>
        <v>1.19</v>
      </c>
      <c r="AB319" s="203">
        <f>ROUND(AA319*$S$21,2)</f>
        <v>0.36</v>
      </c>
      <c r="AC319" s="204">
        <f>SUM(AA319:AB319)</f>
        <v>1.5499999999999998</v>
      </c>
      <c r="AD319" s="205">
        <f>ROUND(AC319*$AD$19/95,2)</f>
        <v>0.08</v>
      </c>
      <c r="AE319" s="206">
        <f>SUM(AC319:AD319)</f>
        <v>1.63</v>
      </c>
      <c r="AG319" s="237" t="s">
        <v>1043</v>
      </c>
      <c r="AH319" s="274" t="s">
        <v>515</v>
      </c>
      <c r="AI319" s="274"/>
      <c r="AL319" s="207">
        <f>AE319</f>
        <v>1.63</v>
      </c>
      <c r="AM319" s="207"/>
      <c r="AN319" s="207">
        <f>BS319</f>
        <v>1.11</v>
      </c>
      <c r="AQ319" s="237" t="s">
        <v>1043</v>
      </c>
      <c r="AR319" s="274" t="s">
        <v>515</v>
      </c>
      <c r="AS319" s="274"/>
      <c r="AT319" s="271">
        <v>2</v>
      </c>
      <c r="AU319" s="214">
        <f t="shared" si="323"/>
        <v>0.0606</v>
      </c>
      <c r="AV319" s="269">
        <f>ROUND(AT319*AU319,2)</f>
        <v>0.12</v>
      </c>
      <c r="AW319" s="269">
        <f>ROUND(AV319*($A$16+$A$17)/100,2)</f>
        <v>0</v>
      </c>
      <c r="AX319" s="198">
        <f>SUM(AV319:AW319)</f>
        <v>0.12</v>
      </c>
      <c r="AY319" s="29">
        <v>4</v>
      </c>
      <c r="AZ319" s="214">
        <f t="shared" si="327"/>
        <v>0.0482</v>
      </c>
      <c r="BA319" s="269">
        <f>ROUND(AY319*AZ319,2)</f>
        <v>0.19</v>
      </c>
      <c r="BB319" s="269">
        <f>ROUND(BA319*($A$16+$A$17)/100,2)</f>
        <v>0</v>
      </c>
      <c r="BC319" s="198">
        <f>SUM(BA319:BB319)</f>
        <v>0.19</v>
      </c>
      <c r="BD319" s="199">
        <f>SUM(AX319,BC319)</f>
        <v>0.31</v>
      </c>
      <c r="BE319" s="237" t="s">
        <v>1043</v>
      </c>
      <c r="BF319" s="274" t="s">
        <v>515</v>
      </c>
      <c r="BG319" s="274"/>
      <c r="BI319" s="200">
        <f>BD319</f>
        <v>0.31</v>
      </c>
      <c r="BJ319" s="200">
        <f>ROUND(BI319*$S$19,2)</f>
        <v>0.03</v>
      </c>
      <c r="BK319" s="197">
        <f>ROUND(SUM(BI319:BJ319)*$AA$19,2)</f>
        <v>0.12</v>
      </c>
      <c r="BL319" s="197">
        <f>ROUND(SUM(BI319:BJ319)*$AA$21,2)</f>
        <v>0</v>
      </c>
      <c r="BM319" s="197">
        <f>ROUND(SUM(BI319:BJ319)*$AA$20,2)</f>
        <v>0.01</v>
      </c>
      <c r="BN319" s="201">
        <f>ROUND(BI319*$S$20,2)</f>
        <v>0.34</v>
      </c>
      <c r="BO319" s="202">
        <f>SUM(BI319:BN319)</f>
        <v>0.81</v>
      </c>
      <c r="BP319" s="203">
        <f>ROUND(BO319*$S$21,2)</f>
        <v>0.24</v>
      </c>
      <c r="BQ319" s="204">
        <f>SUM(BO319:BP319)</f>
        <v>1.05</v>
      </c>
      <c r="BR319" s="205">
        <f>ROUND(BQ319*$AD$19/95,2)</f>
        <v>0.06</v>
      </c>
      <c r="BS319" s="206">
        <f>SUM(BQ319:BR319)</f>
        <v>1.11</v>
      </c>
    </row>
    <row r="320" spans="2:71" ht="26.25" customHeight="1">
      <c r="B320" s="237" t="s">
        <v>1044</v>
      </c>
      <c r="C320" s="363" t="s">
        <v>587</v>
      </c>
      <c r="D320" s="78" t="s">
        <v>53</v>
      </c>
      <c r="E320" s="190">
        <v>10</v>
      </c>
      <c r="F320" s="214">
        <f t="shared" si="337"/>
        <v>0.0606</v>
      </c>
      <c r="G320" s="197">
        <f t="shared" si="365"/>
        <v>0.61</v>
      </c>
      <c r="H320" s="197">
        <f t="shared" si="366"/>
        <v>0</v>
      </c>
      <c r="I320" s="198">
        <f t="shared" si="367"/>
        <v>0.61</v>
      </c>
      <c r="J320" s="257">
        <v>13</v>
      </c>
      <c r="K320" s="214">
        <f t="shared" si="341"/>
        <v>0.0482</v>
      </c>
      <c r="L320" s="197">
        <f t="shared" si="368"/>
        <v>0.63</v>
      </c>
      <c r="M320" s="197">
        <f t="shared" si="369"/>
        <v>0</v>
      </c>
      <c r="N320" s="198">
        <f t="shared" si="370"/>
        <v>0.63</v>
      </c>
      <c r="O320" s="199">
        <f t="shared" si="371"/>
        <v>1.24</v>
      </c>
      <c r="P320" s="237" t="s">
        <v>1044</v>
      </c>
      <c r="Q320" s="438" t="s">
        <v>587</v>
      </c>
      <c r="R320" s="438"/>
      <c r="T320" s="22" t="s">
        <v>54</v>
      </c>
      <c r="U320" s="200">
        <f t="shared" si="372"/>
        <v>1.24</v>
      </c>
      <c r="V320" s="200">
        <f t="shared" si="373"/>
        <v>0.13</v>
      </c>
      <c r="W320" s="197">
        <f t="shared" si="374"/>
        <v>0.47</v>
      </c>
      <c r="X320" s="197">
        <f t="shared" si="375"/>
        <v>0</v>
      </c>
      <c r="Y320" s="197">
        <f t="shared" si="376"/>
        <v>0.02</v>
      </c>
      <c r="Z320" s="201">
        <f t="shared" si="377"/>
        <v>1.36</v>
      </c>
      <c r="AA320" s="202">
        <f t="shared" si="378"/>
        <v>3.22</v>
      </c>
      <c r="AB320" s="203">
        <f t="shared" si="379"/>
        <v>0.97</v>
      </c>
      <c r="AC320" s="204">
        <f t="shared" si="380"/>
        <v>4.19</v>
      </c>
      <c r="AD320" s="205">
        <f t="shared" si="381"/>
        <v>0.22</v>
      </c>
      <c r="AE320" s="206">
        <f t="shared" si="382"/>
        <v>4.41</v>
      </c>
      <c r="AG320" s="237" t="s">
        <v>1044</v>
      </c>
      <c r="AH320" s="363" t="s">
        <v>587</v>
      </c>
      <c r="AI320" s="363"/>
      <c r="AL320" s="207">
        <f t="shared" si="383"/>
        <v>4.41</v>
      </c>
      <c r="AM320" s="207"/>
      <c r="AN320" s="207">
        <f t="shared" si="384"/>
        <v>4.41</v>
      </c>
      <c r="AQ320" s="237" t="s">
        <v>1044</v>
      </c>
      <c r="AR320" s="363" t="s">
        <v>587</v>
      </c>
      <c r="AS320" s="363"/>
      <c r="AT320" s="271">
        <v>10</v>
      </c>
      <c r="AU320" s="214">
        <f t="shared" si="323"/>
        <v>0.0606</v>
      </c>
      <c r="AV320" s="269">
        <f t="shared" si="385"/>
        <v>0.61</v>
      </c>
      <c r="AW320" s="269">
        <f t="shared" si="386"/>
        <v>0</v>
      </c>
      <c r="AX320" s="198">
        <f t="shared" si="387"/>
        <v>0.61</v>
      </c>
      <c r="AY320" s="29">
        <v>13</v>
      </c>
      <c r="AZ320" s="214">
        <f t="shared" si="327"/>
        <v>0.0482</v>
      </c>
      <c r="BA320" s="269">
        <f t="shared" si="388"/>
        <v>0.63</v>
      </c>
      <c r="BB320" s="269">
        <f t="shared" si="389"/>
        <v>0</v>
      </c>
      <c r="BC320" s="198">
        <f t="shared" si="390"/>
        <v>0.63</v>
      </c>
      <c r="BD320" s="199">
        <f t="shared" si="391"/>
        <v>1.24</v>
      </c>
      <c r="BE320" s="237" t="s">
        <v>1044</v>
      </c>
      <c r="BF320" s="363" t="s">
        <v>587</v>
      </c>
      <c r="BG320" s="363"/>
      <c r="BI320" s="200">
        <f t="shared" si="392"/>
        <v>1.24</v>
      </c>
      <c r="BJ320" s="200">
        <f t="shared" si="393"/>
        <v>0.13</v>
      </c>
      <c r="BK320" s="197">
        <f t="shared" si="394"/>
        <v>0.47</v>
      </c>
      <c r="BL320" s="197">
        <f t="shared" si="395"/>
        <v>0</v>
      </c>
      <c r="BM320" s="197">
        <f t="shared" si="396"/>
        <v>0.02</v>
      </c>
      <c r="BN320" s="201">
        <f t="shared" si="397"/>
        <v>1.36</v>
      </c>
      <c r="BO320" s="202">
        <f t="shared" si="398"/>
        <v>3.22</v>
      </c>
      <c r="BP320" s="203">
        <f t="shared" si="399"/>
        <v>0.97</v>
      </c>
      <c r="BQ320" s="204">
        <f t="shared" si="400"/>
        <v>4.19</v>
      </c>
      <c r="BR320" s="205">
        <f t="shared" si="401"/>
        <v>0.22</v>
      </c>
      <c r="BS320" s="206">
        <f t="shared" si="402"/>
        <v>4.41</v>
      </c>
    </row>
    <row r="321" spans="2:71" ht="26.25" customHeight="1">
      <c r="B321" s="233" t="s">
        <v>1053</v>
      </c>
      <c r="C321" s="364" t="s">
        <v>1054</v>
      </c>
      <c r="D321" s="251"/>
      <c r="E321" s="255"/>
      <c r="F321" s="256"/>
      <c r="G321" s="253"/>
      <c r="H321" s="253"/>
      <c r="I321" s="254"/>
      <c r="J321" s="255"/>
      <c r="K321" s="255"/>
      <c r="L321" s="253"/>
      <c r="M321" s="253"/>
      <c r="N321" s="254"/>
      <c r="O321" s="220"/>
      <c r="P321" s="233" t="s">
        <v>1053</v>
      </c>
      <c r="Q321" s="445" t="s">
        <v>1054</v>
      </c>
      <c r="R321" s="445"/>
      <c r="U321" s="253"/>
      <c r="V321" s="253"/>
      <c r="W321" s="253"/>
      <c r="X321" s="253"/>
      <c r="Y321" s="253"/>
      <c r="Z321" s="253"/>
      <c r="AA321" s="253"/>
      <c r="AB321" s="253"/>
      <c r="AC321" s="253"/>
      <c r="AD321" s="253"/>
      <c r="AE321" s="220"/>
      <c r="AG321" s="233" t="s">
        <v>1053</v>
      </c>
      <c r="AH321" s="364" t="s">
        <v>1054</v>
      </c>
      <c r="AI321" s="364"/>
      <c r="AL321" s="207"/>
      <c r="AM321" s="207"/>
      <c r="AN321" s="207"/>
      <c r="AQ321" s="233" t="s">
        <v>1053</v>
      </c>
      <c r="AR321" s="364" t="s">
        <v>1054</v>
      </c>
      <c r="AS321" s="364"/>
      <c r="AT321" s="271"/>
      <c r="AU321" s="256"/>
      <c r="AV321" s="254"/>
      <c r="AW321" s="254"/>
      <c r="AX321" s="254"/>
      <c r="AY321" s="252"/>
      <c r="AZ321" s="256"/>
      <c r="BA321" s="254"/>
      <c r="BB321" s="254"/>
      <c r="BC321" s="254"/>
      <c r="BD321" s="220"/>
      <c r="BE321" s="233" t="s">
        <v>1053</v>
      </c>
      <c r="BF321" s="364" t="s">
        <v>1054</v>
      </c>
      <c r="BG321" s="364"/>
      <c r="BI321" s="253"/>
      <c r="BJ321" s="253"/>
      <c r="BK321" s="253"/>
      <c r="BL321" s="253"/>
      <c r="BM321" s="253"/>
      <c r="BN321" s="253"/>
      <c r="BO321" s="253"/>
      <c r="BP321" s="253"/>
      <c r="BQ321" s="253"/>
      <c r="BR321" s="253"/>
      <c r="BS321" s="220"/>
    </row>
    <row r="322" spans="2:71" ht="21" customHeight="1">
      <c r="B322" s="237" t="s">
        <v>1045</v>
      </c>
      <c r="C322" s="282" t="s">
        <v>515</v>
      </c>
      <c r="D322" s="78" t="s">
        <v>53</v>
      </c>
      <c r="E322" s="190">
        <v>5</v>
      </c>
      <c r="F322" s="214">
        <f t="shared" si="337"/>
        <v>0.0606</v>
      </c>
      <c r="G322" s="197">
        <f t="shared" si="365"/>
        <v>0.3</v>
      </c>
      <c r="H322" s="197">
        <f t="shared" si="366"/>
        <v>0</v>
      </c>
      <c r="I322" s="198">
        <f t="shared" si="367"/>
        <v>0.3</v>
      </c>
      <c r="J322" s="257">
        <v>10</v>
      </c>
      <c r="K322" s="214">
        <f t="shared" si="341"/>
        <v>0.0482</v>
      </c>
      <c r="L322" s="197">
        <f t="shared" si="368"/>
        <v>0.48</v>
      </c>
      <c r="M322" s="197">
        <f t="shared" si="369"/>
        <v>0</v>
      </c>
      <c r="N322" s="198">
        <f t="shared" si="370"/>
        <v>0.48</v>
      </c>
      <c r="O322" s="199">
        <f t="shared" si="371"/>
        <v>0.78</v>
      </c>
      <c r="P322" s="237" t="s">
        <v>1045</v>
      </c>
      <c r="Q322" s="282" t="s">
        <v>515</v>
      </c>
      <c r="R322" s="282"/>
      <c r="T322" s="22" t="s">
        <v>54</v>
      </c>
      <c r="U322" s="200">
        <f t="shared" si="372"/>
        <v>0.78</v>
      </c>
      <c r="V322" s="200">
        <f t="shared" si="373"/>
        <v>0.08</v>
      </c>
      <c r="W322" s="197">
        <f t="shared" si="374"/>
        <v>0.29</v>
      </c>
      <c r="X322" s="197">
        <f t="shared" si="375"/>
        <v>0</v>
      </c>
      <c r="Y322" s="197">
        <f t="shared" si="376"/>
        <v>0.01</v>
      </c>
      <c r="Z322" s="201">
        <f t="shared" si="377"/>
        <v>0.86</v>
      </c>
      <c r="AA322" s="202">
        <f t="shared" si="378"/>
        <v>2.02</v>
      </c>
      <c r="AB322" s="203">
        <f t="shared" si="379"/>
        <v>0.61</v>
      </c>
      <c r="AC322" s="204">
        <f t="shared" si="380"/>
        <v>2.63</v>
      </c>
      <c r="AD322" s="205">
        <f t="shared" si="381"/>
        <v>0.14</v>
      </c>
      <c r="AE322" s="206">
        <f t="shared" si="382"/>
        <v>2.77</v>
      </c>
      <c r="AG322" s="237" t="s">
        <v>1045</v>
      </c>
      <c r="AH322" s="282" t="s">
        <v>515</v>
      </c>
      <c r="AI322" s="282"/>
      <c r="AL322" s="207">
        <f t="shared" si="383"/>
        <v>2.77</v>
      </c>
      <c r="AM322" s="207"/>
      <c r="AN322" s="207">
        <f t="shared" si="384"/>
        <v>1.6800000000000002</v>
      </c>
      <c r="AQ322" s="237" t="s">
        <v>1045</v>
      </c>
      <c r="AR322" s="282" t="s">
        <v>515</v>
      </c>
      <c r="AS322" s="282"/>
      <c r="AT322" s="271">
        <v>3</v>
      </c>
      <c r="AU322" s="214">
        <f t="shared" si="323"/>
        <v>0.0606</v>
      </c>
      <c r="AV322" s="269">
        <f t="shared" si="385"/>
        <v>0.18</v>
      </c>
      <c r="AW322" s="269">
        <f t="shared" si="386"/>
        <v>0</v>
      </c>
      <c r="AX322" s="198">
        <f t="shared" si="387"/>
        <v>0.18</v>
      </c>
      <c r="AY322" s="29">
        <v>6</v>
      </c>
      <c r="AZ322" s="214">
        <f t="shared" si="327"/>
        <v>0.0482</v>
      </c>
      <c r="BA322" s="269">
        <f t="shared" si="388"/>
        <v>0.29</v>
      </c>
      <c r="BB322" s="269">
        <f t="shared" si="389"/>
        <v>0</v>
      </c>
      <c r="BC322" s="198">
        <f t="shared" si="390"/>
        <v>0.29</v>
      </c>
      <c r="BD322" s="199">
        <f t="shared" si="391"/>
        <v>0.47</v>
      </c>
      <c r="BE322" s="237" t="s">
        <v>1045</v>
      </c>
      <c r="BF322" s="282" t="s">
        <v>515</v>
      </c>
      <c r="BG322" s="282"/>
      <c r="BI322" s="200">
        <f t="shared" si="392"/>
        <v>0.47</v>
      </c>
      <c r="BJ322" s="200">
        <f t="shared" si="393"/>
        <v>0.05</v>
      </c>
      <c r="BK322" s="197">
        <f t="shared" si="394"/>
        <v>0.18</v>
      </c>
      <c r="BL322" s="197">
        <f t="shared" si="395"/>
        <v>0</v>
      </c>
      <c r="BM322" s="197">
        <f t="shared" si="396"/>
        <v>0.01</v>
      </c>
      <c r="BN322" s="201">
        <f t="shared" si="397"/>
        <v>0.52</v>
      </c>
      <c r="BO322" s="202">
        <f t="shared" si="398"/>
        <v>1.23</v>
      </c>
      <c r="BP322" s="203">
        <f t="shared" si="399"/>
        <v>0.37</v>
      </c>
      <c r="BQ322" s="204">
        <f t="shared" si="400"/>
        <v>1.6</v>
      </c>
      <c r="BR322" s="205">
        <f t="shared" si="401"/>
        <v>0.08</v>
      </c>
      <c r="BS322" s="206">
        <f t="shared" si="402"/>
        <v>1.6800000000000002</v>
      </c>
    </row>
    <row r="323" spans="2:71" ht="21" customHeight="1">
      <c r="B323" s="237" t="s">
        <v>1046</v>
      </c>
      <c r="C323" s="282" t="s">
        <v>582</v>
      </c>
      <c r="D323" s="78" t="s">
        <v>53</v>
      </c>
      <c r="E323" s="190">
        <v>9</v>
      </c>
      <c r="F323" s="214">
        <f t="shared" si="337"/>
        <v>0.0606</v>
      </c>
      <c r="G323" s="197">
        <f>ROUND(E323*F323,2)</f>
        <v>0.55</v>
      </c>
      <c r="H323" s="197">
        <f>ROUND(G323*($A$16+$A$17)/100,2)</f>
        <v>0</v>
      </c>
      <c r="I323" s="198">
        <f>SUM(G323:H323)</f>
        <v>0.55</v>
      </c>
      <c r="J323" s="257">
        <v>16</v>
      </c>
      <c r="K323" s="214">
        <f t="shared" si="341"/>
        <v>0.0482</v>
      </c>
      <c r="L323" s="197">
        <f>ROUND(J323*K323,2)</f>
        <v>0.77</v>
      </c>
      <c r="M323" s="197">
        <f>ROUND(L323*($A$16+$A$17)/100,2)</f>
        <v>0</v>
      </c>
      <c r="N323" s="198">
        <f>SUM(L323:M323)</f>
        <v>0.77</v>
      </c>
      <c r="O323" s="199">
        <f>SUM(I323,N323)</f>
        <v>1.32</v>
      </c>
      <c r="P323" s="237" t="s">
        <v>1046</v>
      </c>
      <c r="Q323" s="282" t="s">
        <v>582</v>
      </c>
      <c r="R323" s="282"/>
      <c r="T323" s="22" t="s">
        <v>54</v>
      </c>
      <c r="U323" s="200">
        <f>O323</f>
        <v>1.32</v>
      </c>
      <c r="V323" s="200">
        <f>ROUND(U323*$S$19,2)</f>
        <v>0.14</v>
      </c>
      <c r="W323" s="197">
        <f>ROUND(SUM(U323:V323)*$AA$19,2)</f>
        <v>0.5</v>
      </c>
      <c r="X323" s="197">
        <f>ROUND(SUM(U323:V323)*$AA$21,2)</f>
        <v>0</v>
      </c>
      <c r="Y323" s="197">
        <f>ROUND(SUM(U323:V323)*$AA$20,2)</f>
        <v>0.02</v>
      </c>
      <c r="Z323" s="201">
        <f>ROUND(U323*$S$20,2)</f>
        <v>1.45</v>
      </c>
      <c r="AA323" s="202">
        <f>SUM(U323:Z323)</f>
        <v>3.4299999999999997</v>
      </c>
      <c r="AB323" s="203">
        <f>ROUND(AA323*$S$21,2)</f>
        <v>1.03</v>
      </c>
      <c r="AC323" s="204">
        <f>SUM(AA323:AB323)</f>
        <v>4.46</v>
      </c>
      <c r="AD323" s="205">
        <f>ROUND(AC323*$AD$19/95,2)</f>
        <v>0.23</v>
      </c>
      <c r="AE323" s="206">
        <f>SUM(AC323:AD323)</f>
        <v>4.69</v>
      </c>
      <c r="AG323" s="237" t="s">
        <v>1046</v>
      </c>
      <c r="AH323" s="282" t="s">
        <v>582</v>
      </c>
      <c r="AI323" s="282"/>
      <c r="AL323" s="207">
        <f>AE323</f>
        <v>4.69</v>
      </c>
      <c r="AM323" s="207"/>
      <c r="AN323" s="207">
        <f>BS323</f>
        <v>4.69</v>
      </c>
      <c r="AQ323" s="237" t="s">
        <v>1046</v>
      </c>
      <c r="AR323" s="282" t="s">
        <v>582</v>
      </c>
      <c r="AS323" s="282"/>
      <c r="AT323" s="271">
        <v>9</v>
      </c>
      <c r="AU323" s="214">
        <f t="shared" si="323"/>
        <v>0.0606</v>
      </c>
      <c r="AV323" s="269">
        <f>ROUND(AT323*AU323,2)</f>
        <v>0.55</v>
      </c>
      <c r="AW323" s="269">
        <f>ROUND(AV323*($A$16+$A$17)/100,2)</f>
        <v>0</v>
      </c>
      <c r="AX323" s="198">
        <f>SUM(AV323:AW323)</f>
        <v>0.55</v>
      </c>
      <c r="AY323" s="29">
        <v>16</v>
      </c>
      <c r="AZ323" s="214">
        <f t="shared" si="327"/>
        <v>0.0482</v>
      </c>
      <c r="BA323" s="269">
        <f>ROUND(AY323*AZ323,2)</f>
        <v>0.77</v>
      </c>
      <c r="BB323" s="269">
        <f>ROUND(BA323*($A$16+$A$17)/100,2)</f>
        <v>0</v>
      </c>
      <c r="BC323" s="198">
        <f>SUM(BA323:BB323)</f>
        <v>0.77</v>
      </c>
      <c r="BD323" s="199">
        <f>SUM(AX323,BC323)</f>
        <v>1.32</v>
      </c>
      <c r="BE323" s="237" t="s">
        <v>1046</v>
      </c>
      <c r="BF323" s="282" t="s">
        <v>582</v>
      </c>
      <c r="BG323" s="282"/>
      <c r="BI323" s="200">
        <f>BD323</f>
        <v>1.32</v>
      </c>
      <c r="BJ323" s="200">
        <f>ROUND(BI323*$S$19,2)</f>
        <v>0.14</v>
      </c>
      <c r="BK323" s="197">
        <f>ROUND(SUM(BI323:BJ323)*$AA$19,2)</f>
        <v>0.5</v>
      </c>
      <c r="BL323" s="197">
        <f>ROUND(SUM(BI323:BJ323)*$AA$21,2)</f>
        <v>0</v>
      </c>
      <c r="BM323" s="197">
        <f>ROUND(SUM(BI323:BJ323)*$AA$20,2)</f>
        <v>0.02</v>
      </c>
      <c r="BN323" s="201">
        <f>ROUND(BI323*$S$20,2)</f>
        <v>1.45</v>
      </c>
      <c r="BO323" s="202">
        <f>SUM(BI323:BN323)</f>
        <v>3.4299999999999997</v>
      </c>
      <c r="BP323" s="203">
        <f>ROUND(BO323*$S$21,2)</f>
        <v>1.03</v>
      </c>
      <c r="BQ323" s="204">
        <f>SUM(BO323:BP323)</f>
        <v>4.46</v>
      </c>
      <c r="BR323" s="205">
        <f>ROUND(BQ323*$AD$19/95,2)</f>
        <v>0.23</v>
      </c>
      <c r="BS323" s="206">
        <f>SUM(BQ323:BR323)</f>
        <v>4.69</v>
      </c>
    </row>
    <row r="324" spans="2:71" ht="16.5" customHeight="1">
      <c r="B324" s="330" t="s">
        <v>598</v>
      </c>
      <c r="C324" s="238" t="s">
        <v>599</v>
      </c>
      <c r="D324" s="78" t="s">
        <v>53</v>
      </c>
      <c r="E324" s="190">
        <v>3</v>
      </c>
      <c r="F324" s="214">
        <f t="shared" si="337"/>
        <v>0.0606</v>
      </c>
      <c r="G324" s="197">
        <f t="shared" si="338"/>
        <v>0.18</v>
      </c>
      <c r="H324" s="197">
        <f t="shared" si="339"/>
        <v>0</v>
      </c>
      <c r="I324" s="198">
        <f t="shared" si="340"/>
        <v>0.18</v>
      </c>
      <c r="J324" s="257">
        <v>10</v>
      </c>
      <c r="K324" s="214">
        <f t="shared" si="341"/>
        <v>0.0482</v>
      </c>
      <c r="L324" s="197">
        <f t="shared" si="342"/>
        <v>0.48</v>
      </c>
      <c r="M324" s="197">
        <f t="shared" si="343"/>
        <v>0</v>
      </c>
      <c r="N324" s="198">
        <f t="shared" si="344"/>
        <v>0.48</v>
      </c>
      <c r="O324" s="199">
        <f t="shared" si="345"/>
        <v>0.6599999999999999</v>
      </c>
      <c r="P324" s="237" t="s">
        <v>598</v>
      </c>
      <c r="Q324" s="439" t="s">
        <v>599</v>
      </c>
      <c r="R324" s="439"/>
      <c r="T324" s="22" t="s">
        <v>54</v>
      </c>
      <c r="U324" s="200">
        <f t="shared" si="346"/>
        <v>0.6599999999999999</v>
      </c>
      <c r="V324" s="200">
        <f t="shared" si="347"/>
        <v>0.07</v>
      </c>
      <c r="W324" s="197">
        <f t="shared" si="348"/>
        <v>0.25</v>
      </c>
      <c r="X324" s="197">
        <f t="shared" si="349"/>
        <v>0</v>
      </c>
      <c r="Y324" s="197">
        <f t="shared" si="350"/>
        <v>0.01</v>
      </c>
      <c r="Z324" s="201">
        <f t="shared" si="351"/>
        <v>0.72</v>
      </c>
      <c r="AA324" s="202">
        <f t="shared" si="352"/>
        <v>1.71</v>
      </c>
      <c r="AB324" s="203">
        <f t="shared" si="353"/>
        <v>0.51</v>
      </c>
      <c r="AC324" s="204">
        <f t="shared" si="354"/>
        <v>2.2199999999999998</v>
      </c>
      <c r="AD324" s="205">
        <f t="shared" si="355"/>
        <v>0.12</v>
      </c>
      <c r="AE324" s="206">
        <f t="shared" si="356"/>
        <v>2.34</v>
      </c>
      <c r="AG324" s="237" t="s">
        <v>598</v>
      </c>
      <c r="AH324" s="439" t="s">
        <v>599</v>
      </c>
      <c r="AI324" s="439"/>
      <c r="AL324" s="207">
        <f t="shared" si="332"/>
        <v>2.34</v>
      </c>
      <c r="AM324" s="207"/>
      <c r="AN324" s="207">
        <f t="shared" si="333"/>
        <v>2.34</v>
      </c>
      <c r="AQ324" s="237" t="s">
        <v>598</v>
      </c>
      <c r="AR324" s="439" t="s">
        <v>599</v>
      </c>
      <c r="AS324" s="439"/>
      <c r="AT324" s="271">
        <v>3</v>
      </c>
      <c r="AU324" s="214">
        <f t="shared" si="323"/>
        <v>0.0606</v>
      </c>
      <c r="AV324" s="269">
        <f t="shared" si="324"/>
        <v>0.18</v>
      </c>
      <c r="AW324" s="269">
        <f t="shared" si="325"/>
        <v>0</v>
      </c>
      <c r="AX324" s="198">
        <f t="shared" si="326"/>
        <v>0.18</v>
      </c>
      <c r="AY324" s="29">
        <v>10</v>
      </c>
      <c r="AZ324" s="214">
        <f t="shared" si="327"/>
        <v>0.0482</v>
      </c>
      <c r="BA324" s="269">
        <f t="shared" si="328"/>
        <v>0.48</v>
      </c>
      <c r="BB324" s="269">
        <f t="shared" si="329"/>
        <v>0</v>
      </c>
      <c r="BC324" s="198">
        <f t="shared" si="330"/>
        <v>0.48</v>
      </c>
      <c r="BD324" s="199">
        <f t="shared" si="331"/>
        <v>0.6599999999999999</v>
      </c>
      <c r="BE324" s="237" t="s">
        <v>598</v>
      </c>
      <c r="BF324" s="439" t="s">
        <v>599</v>
      </c>
      <c r="BG324" s="439"/>
      <c r="BI324" s="200">
        <f t="shared" si="357"/>
        <v>0.6599999999999999</v>
      </c>
      <c r="BJ324" s="200">
        <f t="shared" si="334"/>
        <v>0.07</v>
      </c>
      <c r="BK324" s="197">
        <f t="shared" si="358"/>
        <v>0.25</v>
      </c>
      <c r="BL324" s="197">
        <f t="shared" si="359"/>
        <v>0</v>
      </c>
      <c r="BM324" s="197">
        <f t="shared" si="360"/>
        <v>0.01</v>
      </c>
      <c r="BN324" s="201">
        <f t="shared" si="361"/>
        <v>0.72</v>
      </c>
      <c r="BO324" s="202">
        <f t="shared" si="362"/>
        <v>1.71</v>
      </c>
      <c r="BP324" s="203">
        <f t="shared" si="335"/>
        <v>0.51</v>
      </c>
      <c r="BQ324" s="204">
        <f t="shared" si="363"/>
        <v>2.2199999999999998</v>
      </c>
      <c r="BR324" s="205">
        <f t="shared" si="336"/>
        <v>0.12</v>
      </c>
      <c r="BS324" s="206">
        <f t="shared" si="364"/>
        <v>2.34</v>
      </c>
    </row>
    <row r="325" spans="2:71" ht="38.25" customHeight="1">
      <c r="B325" s="330" t="s">
        <v>600</v>
      </c>
      <c r="C325" s="238" t="s">
        <v>601</v>
      </c>
      <c r="D325" s="78" t="s">
        <v>53</v>
      </c>
      <c r="E325" s="190">
        <v>5</v>
      </c>
      <c r="F325" s="214">
        <f t="shared" si="337"/>
        <v>0.0606</v>
      </c>
      <c r="G325" s="197">
        <f t="shared" si="338"/>
        <v>0.3</v>
      </c>
      <c r="H325" s="197">
        <f t="shared" si="339"/>
        <v>0</v>
      </c>
      <c r="I325" s="198">
        <f t="shared" si="340"/>
        <v>0.3</v>
      </c>
      <c r="J325" s="257">
        <v>2</v>
      </c>
      <c r="K325" s="214">
        <f t="shared" si="341"/>
        <v>0.0482</v>
      </c>
      <c r="L325" s="197">
        <f t="shared" si="342"/>
        <v>0.1</v>
      </c>
      <c r="M325" s="197">
        <f t="shared" si="343"/>
        <v>0</v>
      </c>
      <c r="N325" s="198">
        <f t="shared" si="344"/>
        <v>0.1</v>
      </c>
      <c r="O325" s="199">
        <f t="shared" si="345"/>
        <v>0.4</v>
      </c>
      <c r="P325" s="237" t="s">
        <v>600</v>
      </c>
      <c r="Q325" s="439" t="s">
        <v>601</v>
      </c>
      <c r="R325" s="439"/>
      <c r="T325" s="22" t="s">
        <v>54</v>
      </c>
      <c r="U325" s="200">
        <f t="shared" si="346"/>
        <v>0.4</v>
      </c>
      <c r="V325" s="200">
        <f t="shared" si="347"/>
        <v>0.04</v>
      </c>
      <c r="W325" s="197">
        <f t="shared" si="348"/>
        <v>0.15</v>
      </c>
      <c r="X325" s="197">
        <f t="shared" si="349"/>
        <v>0</v>
      </c>
      <c r="Y325" s="197">
        <f t="shared" si="350"/>
        <v>0.01</v>
      </c>
      <c r="Z325" s="201">
        <f t="shared" si="351"/>
        <v>0.44</v>
      </c>
      <c r="AA325" s="202">
        <f t="shared" si="352"/>
        <v>1.04</v>
      </c>
      <c r="AB325" s="203">
        <f t="shared" si="353"/>
        <v>0.31</v>
      </c>
      <c r="AC325" s="204">
        <f t="shared" si="354"/>
        <v>1.35</v>
      </c>
      <c r="AD325" s="205">
        <f t="shared" si="355"/>
        <v>0.07</v>
      </c>
      <c r="AE325" s="206">
        <f t="shared" si="356"/>
        <v>1.4200000000000002</v>
      </c>
      <c r="AG325" s="237" t="s">
        <v>600</v>
      </c>
      <c r="AH325" s="439" t="s">
        <v>601</v>
      </c>
      <c r="AI325" s="439"/>
      <c r="AL325" s="207">
        <f t="shared" si="332"/>
        <v>1.4200000000000002</v>
      </c>
      <c r="AM325" s="207"/>
      <c r="AN325" s="207">
        <f t="shared" si="333"/>
        <v>1.4200000000000002</v>
      </c>
      <c r="AQ325" s="237" t="s">
        <v>600</v>
      </c>
      <c r="AR325" s="439" t="s">
        <v>601</v>
      </c>
      <c r="AS325" s="439"/>
      <c r="AT325" s="271">
        <v>5</v>
      </c>
      <c r="AU325" s="214">
        <f t="shared" si="323"/>
        <v>0.0606</v>
      </c>
      <c r="AV325" s="269">
        <f t="shared" si="324"/>
        <v>0.3</v>
      </c>
      <c r="AW325" s="269">
        <f t="shared" si="325"/>
        <v>0</v>
      </c>
      <c r="AX325" s="198">
        <f t="shared" si="326"/>
        <v>0.3</v>
      </c>
      <c r="AY325" s="29">
        <v>2</v>
      </c>
      <c r="AZ325" s="214">
        <f t="shared" si="327"/>
        <v>0.0482</v>
      </c>
      <c r="BA325" s="269">
        <f t="shared" si="328"/>
        <v>0.1</v>
      </c>
      <c r="BB325" s="269">
        <f t="shared" si="329"/>
        <v>0</v>
      </c>
      <c r="BC325" s="198">
        <f t="shared" si="330"/>
        <v>0.1</v>
      </c>
      <c r="BD325" s="199">
        <f t="shared" si="331"/>
        <v>0.4</v>
      </c>
      <c r="BE325" s="237" t="s">
        <v>600</v>
      </c>
      <c r="BF325" s="439" t="s">
        <v>601</v>
      </c>
      <c r="BG325" s="439"/>
      <c r="BI325" s="200">
        <f t="shared" si="357"/>
        <v>0.4</v>
      </c>
      <c r="BJ325" s="200">
        <f t="shared" si="334"/>
        <v>0.04</v>
      </c>
      <c r="BK325" s="197">
        <f t="shared" si="358"/>
        <v>0.15</v>
      </c>
      <c r="BL325" s="197">
        <f t="shared" si="359"/>
        <v>0</v>
      </c>
      <c r="BM325" s="197">
        <f t="shared" si="360"/>
        <v>0.01</v>
      </c>
      <c r="BN325" s="201">
        <f t="shared" si="361"/>
        <v>0.44</v>
      </c>
      <c r="BO325" s="202">
        <f t="shared" si="362"/>
        <v>1.04</v>
      </c>
      <c r="BP325" s="203">
        <f t="shared" si="335"/>
        <v>0.31</v>
      </c>
      <c r="BQ325" s="204">
        <f t="shared" si="363"/>
        <v>1.35</v>
      </c>
      <c r="BR325" s="205">
        <f t="shared" si="336"/>
        <v>0.07</v>
      </c>
      <c r="BS325" s="206">
        <f t="shared" si="364"/>
        <v>1.4200000000000002</v>
      </c>
    </row>
    <row r="326" spans="2:71" ht="38.25" customHeight="1">
      <c r="B326" s="330" t="s">
        <v>602</v>
      </c>
      <c r="C326" s="238" t="s">
        <v>603</v>
      </c>
      <c r="D326" s="78" t="s">
        <v>53</v>
      </c>
      <c r="E326" s="190">
        <v>5</v>
      </c>
      <c r="F326" s="214">
        <f t="shared" si="337"/>
        <v>0.0606</v>
      </c>
      <c r="G326" s="197">
        <f t="shared" si="338"/>
        <v>0.3</v>
      </c>
      <c r="H326" s="197">
        <f t="shared" si="339"/>
        <v>0</v>
      </c>
      <c r="I326" s="198">
        <f t="shared" si="340"/>
        <v>0.3</v>
      </c>
      <c r="J326" s="257">
        <v>10</v>
      </c>
      <c r="K326" s="214">
        <f t="shared" si="341"/>
        <v>0.0482</v>
      </c>
      <c r="L326" s="197">
        <f t="shared" si="342"/>
        <v>0.48</v>
      </c>
      <c r="M326" s="197">
        <f t="shared" si="343"/>
        <v>0</v>
      </c>
      <c r="N326" s="198">
        <f t="shared" si="344"/>
        <v>0.48</v>
      </c>
      <c r="O326" s="199">
        <f t="shared" si="345"/>
        <v>0.78</v>
      </c>
      <c r="P326" s="237" t="s">
        <v>602</v>
      </c>
      <c r="Q326" s="439" t="s">
        <v>603</v>
      </c>
      <c r="R326" s="439"/>
      <c r="T326" s="22" t="s">
        <v>54</v>
      </c>
      <c r="U326" s="200">
        <f t="shared" si="346"/>
        <v>0.78</v>
      </c>
      <c r="V326" s="200">
        <f t="shared" si="347"/>
        <v>0.08</v>
      </c>
      <c r="W326" s="197">
        <f t="shared" si="348"/>
        <v>0.29</v>
      </c>
      <c r="X326" s="197">
        <f t="shared" si="349"/>
        <v>0</v>
      </c>
      <c r="Y326" s="197">
        <f t="shared" si="350"/>
        <v>0.01</v>
      </c>
      <c r="Z326" s="201">
        <f t="shared" si="351"/>
        <v>0.86</v>
      </c>
      <c r="AA326" s="202">
        <f t="shared" si="352"/>
        <v>2.02</v>
      </c>
      <c r="AB326" s="203">
        <f t="shared" si="353"/>
        <v>0.61</v>
      </c>
      <c r="AC326" s="204">
        <f t="shared" si="354"/>
        <v>2.63</v>
      </c>
      <c r="AD326" s="205">
        <f t="shared" si="355"/>
        <v>0.14</v>
      </c>
      <c r="AE326" s="206">
        <f t="shared" si="356"/>
        <v>2.77</v>
      </c>
      <c r="AG326" s="237" t="s">
        <v>602</v>
      </c>
      <c r="AH326" s="439" t="s">
        <v>603</v>
      </c>
      <c r="AI326" s="439"/>
      <c r="AL326" s="207">
        <f t="shared" si="332"/>
        <v>2.77</v>
      </c>
      <c r="AM326" s="207"/>
      <c r="AN326" s="207">
        <f t="shared" si="333"/>
        <v>2.77</v>
      </c>
      <c r="AQ326" s="237" t="s">
        <v>602</v>
      </c>
      <c r="AR326" s="439" t="s">
        <v>603</v>
      </c>
      <c r="AS326" s="439"/>
      <c r="AT326" s="271">
        <v>5</v>
      </c>
      <c r="AU326" s="214">
        <f t="shared" si="323"/>
        <v>0.0606</v>
      </c>
      <c r="AV326" s="269">
        <f t="shared" si="324"/>
        <v>0.3</v>
      </c>
      <c r="AW326" s="269">
        <f t="shared" si="325"/>
        <v>0</v>
      </c>
      <c r="AX326" s="198">
        <f t="shared" si="326"/>
        <v>0.3</v>
      </c>
      <c r="AY326" s="29">
        <v>10</v>
      </c>
      <c r="AZ326" s="214">
        <f t="shared" si="327"/>
        <v>0.0482</v>
      </c>
      <c r="BA326" s="269">
        <f t="shared" si="328"/>
        <v>0.48</v>
      </c>
      <c r="BB326" s="269">
        <f t="shared" si="329"/>
        <v>0</v>
      </c>
      <c r="BC326" s="198">
        <f t="shared" si="330"/>
        <v>0.48</v>
      </c>
      <c r="BD326" s="199">
        <f t="shared" si="331"/>
        <v>0.78</v>
      </c>
      <c r="BE326" s="237" t="s">
        <v>602</v>
      </c>
      <c r="BF326" s="439" t="s">
        <v>603</v>
      </c>
      <c r="BG326" s="439"/>
      <c r="BI326" s="200">
        <f t="shared" si="357"/>
        <v>0.78</v>
      </c>
      <c r="BJ326" s="200">
        <f t="shared" si="334"/>
        <v>0.08</v>
      </c>
      <c r="BK326" s="197">
        <f t="shared" si="358"/>
        <v>0.29</v>
      </c>
      <c r="BL326" s="197">
        <f t="shared" si="359"/>
        <v>0</v>
      </c>
      <c r="BM326" s="197">
        <f t="shared" si="360"/>
        <v>0.01</v>
      </c>
      <c r="BN326" s="201">
        <f t="shared" si="361"/>
        <v>0.86</v>
      </c>
      <c r="BO326" s="202">
        <f t="shared" si="362"/>
        <v>2.02</v>
      </c>
      <c r="BP326" s="203">
        <f t="shared" si="335"/>
        <v>0.61</v>
      </c>
      <c r="BQ326" s="204">
        <f t="shared" si="363"/>
        <v>2.63</v>
      </c>
      <c r="BR326" s="205">
        <f t="shared" si="336"/>
        <v>0.14</v>
      </c>
      <c r="BS326" s="206">
        <f t="shared" si="364"/>
        <v>2.77</v>
      </c>
    </row>
    <row r="327" spans="2:71" ht="27" customHeight="1">
      <c r="B327" s="245" t="s">
        <v>1052</v>
      </c>
      <c r="C327" s="363" t="s">
        <v>1055</v>
      </c>
      <c r="D327" s="78" t="s">
        <v>53</v>
      </c>
      <c r="E327" s="190">
        <v>20</v>
      </c>
      <c r="F327" s="214">
        <f t="shared" si="337"/>
        <v>0.0606</v>
      </c>
      <c r="G327" s="197">
        <f t="shared" si="338"/>
        <v>1.21</v>
      </c>
      <c r="H327" s="197">
        <f t="shared" si="339"/>
        <v>0</v>
      </c>
      <c r="I327" s="198">
        <f t="shared" si="340"/>
        <v>1.21</v>
      </c>
      <c r="J327" s="257">
        <v>35</v>
      </c>
      <c r="K327" s="214">
        <f t="shared" si="341"/>
        <v>0.0482</v>
      </c>
      <c r="L327" s="197">
        <f t="shared" si="342"/>
        <v>1.69</v>
      </c>
      <c r="M327" s="197">
        <f t="shared" si="343"/>
        <v>0</v>
      </c>
      <c r="N327" s="198">
        <f t="shared" si="344"/>
        <v>1.69</v>
      </c>
      <c r="O327" s="199">
        <f t="shared" si="345"/>
        <v>2.9</v>
      </c>
      <c r="P327" s="245" t="s">
        <v>1052</v>
      </c>
      <c r="Q327" s="440" t="s">
        <v>1055</v>
      </c>
      <c r="R327" s="440"/>
      <c r="T327" s="22" t="s">
        <v>54</v>
      </c>
      <c r="U327" s="200">
        <f t="shared" si="346"/>
        <v>2.9</v>
      </c>
      <c r="V327" s="200">
        <f t="shared" si="347"/>
        <v>0.3</v>
      </c>
      <c r="W327" s="197">
        <f t="shared" si="348"/>
        <v>1.09</v>
      </c>
      <c r="X327" s="197">
        <f t="shared" si="349"/>
        <v>0</v>
      </c>
      <c r="Y327" s="197">
        <f t="shared" si="350"/>
        <v>0.05</v>
      </c>
      <c r="Z327" s="201">
        <f t="shared" si="351"/>
        <v>3.18</v>
      </c>
      <c r="AA327" s="202">
        <f t="shared" si="352"/>
        <v>7.52</v>
      </c>
      <c r="AB327" s="203">
        <f t="shared" si="353"/>
        <v>2.26</v>
      </c>
      <c r="AC327" s="204">
        <f t="shared" si="354"/>
        <v>9.78</v>
      </c>
      <c r="AD327" s="205">
        <f t="shared" si="355"/>
        <v>0.51</v>
      </c>
      <c r="AE327" s="206">
        <f t="shared" si="356"/>
        <v>10.29</v>
      </c>
      <c r="AG327" s="245" t="s">
        <v>1052</v>
      </c>
      <c r="AH327" s="440" t="s">
        <v>1055</v>
      </c>
      <c r="AI327" s="440"/>
      <c r="AL327" s="207">
        <f t="shared" si="332"/>
        <v>10.29</v>
      </c>
      <c r="AM327" s="207"/>
      <c r="AN327" s="207">
        <f t="shared" si="333"/>
        <v>6.169999999999999</v>
      </c>
      <c r="AQ327" s="245" t="s">
        <v>1052</v>
      </c>
      <c r="AR327" s="440" t="s">
        <v>1055</v>
      </c>
      <c r="AS327" s="440"/>
      <c r="AT327" s="271">
        <v>12</v>
      </c>
      <c r="AU327" s="214">
        <f t="shared" si="323"/>
        <v>0.0606</v>
      </c>
      <c r="AV327" s="269">
        <f t="shared" si="324"/>
        <v>0.73</v>
      </c>
      <c r="AW327" s="269">
        <f t="shared" si="325"/>
        <v>0</v>
      </c>
      <c r="AX327" s="198">
        <f t="shared" si="326"/>
        <v>0.73</v>
      </c>
      <c r="AY327" s="29">
        <v>21</v>
      </c>
      <c r="AZ327" s="214">
        <f t="shared" si="327"/>
        <v>0.0482</v>
      </c>
      <c r="BA327" s="269">
        <f t="shared" si="328"/>
        <v>1.01</v>
      </c>
      <c r="BB327" s="269">
        <f t="shared" si="329"/>
        <v>0</v>
      </c>
      <c r="BC327" s="198">
        <f t="shared" si="330"/>
        <v>1.01</v>
      </c>
      <c r="BD327" s="199">
        <f t="shared" si="331"/>
        <v>1.74</v>
      </c>
      <c r="BE327" s="245" t="s">
        <v>1052</v>
      </c>
      <c r="BF327" s="440" t="s">
        <v>1055</v>
      </c>
      <c r="BG327" s="440"/>
      <c r="BI327" s="200">
        <f t="shared" si="357"/>
        <v>1.74</v>
      </c>
      <c r="BJ327" s="200">
        <f t="shared" si="334"/>
        <v>0.18</v>
      </c>
      <c r="BK327" s="197">
        <f t="shared" si="358"/>
        <v>0.65</v>
      </c>
      <c r="BL327" s="197">
        <f t="shared" si="359"/>
        <v>0</v>
      </c>
      <c r="BM327" s="197">
        <f t="shared" si="360"/>
        <v>0.03</v>
      </c>
      <c r="BN327" s="201">
        <f t="shared" si="361"/>
        <v>1.91</v>
      </c>
      <c r="BO327" s="202">
        <f t="shared" si="362"/>
        <v>4.51</v>
      </c>
      <c r="BP327" s="203">
        <f t="shared" si="335"/>
        <v>1.35</v>
      </c>
      <c r="BQ327" s="204">
        <f t="shared" si="363"/>
        <v>5.859999999999999</v>
      </c>
      <c r="BR327" s="205">
        <f t="shared" si="336"/>
        <v>0.31</v>
      </c>
      <c r="BS327" s="206">
        <f t="shared" si="364"/>
        <v>6.169999999999999</v>
      </c>
    </row>
    <row r="328" spans="2:71" ht="27" customHeight="1">
      <c r="B328" s="245" t="s">
        <v>612</v>
      </c>
      <c r="C328" s="363" t="s">
        <v>613</v>
      </c>
      <c r="D328" s="78" t="s">
        <v>53</v>
      </c>
      <c r="E328" s="190">
        <v>15</v>
      </c>
      <c r="F328" s="214">
        <f t="shared" si="337"/>
        <v>0.0606</v>
      </c>
      <c r="G328" s="197">
        <f>ROUND(E328*F328,2)</f>
        <v>0.91</v>
      </c>
      <c r="H328" s="197">
        <f>ROUND(G328*($A$16+$A$17)/100,2)</f>
        <v>0</v>
      </c>
      <c r="I328" s="198">
        <f>SUM(G328:H328)</f>
        <v>0.91</v>
      </c>
      <c r="J328" s="257">
        <v>45</v>
      </c>
      <c r="K328" s="214">
        <f t="shared" si="341"/>
        <v>0.0482</v>
      </c>
      <c r="L328" s="197">
        <f>ROUND(J328*K328,2)</f>
        <v>2.17</v>
      </c>
      <c r="M328" s="197">
        <f>ROUND(L328*($A$16+$A$17)/100,2)</f>
        <v>0</v>
      </c>
      <c r="N328" s="198">
        <f>SUM(L328:M328)</f>
        <v>2.17</v>
      </c>
      <c r="O328" s="199">
        <f>SUM(I328,N328)</f>
        <v>3.08</v>
      </c>
      <c r="P328" s="245" t="s">
        <v>1052</v>
      </c>
      <c r="Q328" s="440" t="s">
        <v>1055</v>
      </c>
      <c r="R328" s="440"/>
      <c r="T328" s="22" t="s">
        <v>54</v>
      </c>
      <c r="U328" s="200">
        <f>O328</f>
        <v>3.08</v>
      </c>
      <c r="V328" s="200">
        <f>ROUND(U328*$S$19,2)</f>
        <v>0.32</v>
      </c>
      <c r="W328" s="197">
        <f>ROUND(SUM(U328:V328)*$AA$19,2)</f>
        <v>1.16</v>
      </c>
      <c r="X328" s="197">
        <f>ROUND(SUM(U328:V328)*$AA$21,2)</f>
        <v>0</v>
      </c>
      <c r="Y328" s="197">
        <f>ROUND(SUM(U328:V328)*$AA$20,2)</f>
        <v>0.05</v>
      </c>
      <c r="Z328" s="201">
        <f>ROUND(U328*$S$20,2)</f>
        <v>3.38</v>
      </c>
      <c r="AA328" s="202">
        <f>SUM(U328:Z328)</f>
        <v>7.989999999999999</v>
      </c>
      <c r="AB328" s="203">
        <f>ROUND(AA328*$S$21,2)</f>
        <v>2.4</v>
      </c>
      <c r="AC328" s="204">
        <f>SUM(AA328:AB328)</f>
        <v>10.389999999999999</v>
      </c>
      <c r="AD328" s="205">
        <f>ROUND(AC328*$AD$19/95,2)</f>
        <v>0.55</v>
      </c>
      <c r="AE328" s="206">
        <f>SUM(AC328:AD328)</f>
        <v>10.94</v>
      </c>
      <c r="AG328" s="245" t="s">
        <v>1052</v>
      </c>
      <c r="AH328" s="440" t="s">
        <v>1055</v>
      </c>
      <c r="AI328" s="440"/>
      <c r="AL328" s="207">
        <f>AE328</f>
        <v>10.94</v>
      </c>
      <c r="AM328" s="207"/>
      <c r="AN328" s="207">
        <f>BS328</f>
        <v>6.559999999999999</v>
      </c>
      <c r="AQ328" s="245" t="s">
        <v>1052</v>
      </c>
      <c r="AR328" s="440" t="s">
        <v>1055</v>
      </c>
      <c r="AS328" s="440"/>
      <c r="AT328" s="271">
        <v>9</v>
      </c>
      <c r="AU328" s="214">
        <f t="shared" si="323"/>
        <v>0.0606</v>
      </c>
      <c r="AV328" s="269">
        <f>ROUND(AT328*AU328,2)</f>
        <v>0.55</v>
      </c>
      <c r="AW328" s="269">
        <f>ROUND(AV328*($A$16+$A$17)/100,2)</f>
        <v>0</v>
      </c>
      <c r="AX328" s="198">
        <f>SUM(AV328:AW328)</f>
        <v>0.55</v>
      </c>
      <c r="AY328" s="29">
        <v>27</v>
      </c>
      <c r="AZ328" s="214">
        <f t="shared" si="327"/>
        <v>0.0482</v>
      </c>
      <c r="BA328" s="269">
        <f>ROUND(AY328*AZ328,2)</f>
        <v>1.3</v>
      </c>
      <c r="BB328" s="269">
        <f>ROUND(BA328*($A$16+$A$17)/100,2)</f>
        <v>0</v>
      </c>
      <c r="BC328" s="198">
        <f>SUM(BA328:BB328)</f>
        <v>1.3</v>
      </c>
      <c r="BD328" s="199">
        <f>SUM(AX328,BC328)</f>
        <v>1.85</v>
      </c>
      <c r="BE328" s="245" t="s">
        <v>1052</v>
      </c>
      <c r="BF328" s="440" t="s">
        <v>1055</v>
      </c>
      <c r="BG328" s="440"/>
      <c r="BI328" s="200">
        <f>BD328</f>
        <v>1.85</v>
      </c>
      <c r="BJ328" s="200">
        <f>ROUND(BI328*$S$19,2)</f>
        <v>0.19</v>
      </c>
      <c r="BK328" s="197">
        <f>ROUND(SUM(BI328:BJ328)*$AA$19,2)</f>
        <v>0.69</v>
      </c>
      <c r="BL328" s="197">
        <f>ROUND(SUM(BI328:BJ328)*$AA$21,2)</f>
        <v>0</v>
      </c>
      <c r="BM328" s="197">
        <f>ROUND(SUM(BI328:BJ328)*$AA$20,2)</f>
        <v>0.03</v>
      </c>
      <c r="BN328" s="201">
        <f>ROUND(BI328*$S$20,2)</f>
        <v>2.03</v>
      </c>
      <c r="BO328" s="202">
        <f>SUM(BI328:BN328)</f>
        <v>4.789999999999999</v>
      </c>
      <c r="BP328" s="203">
        <f>ROUND(BO328*$S$21,2)</f>
        <v>1.44</v>
      </c>
      <c r="BQ328" s="204">
        <f>SUM(BO328:BP328)</f>
        <v>6.229999999999999</v>
      </c>
      <c r="BR328" s="205">
        <f>ROUND(BQ328*$AD$19/95,2)</f>
        <v>0.33</v>
      </c>
      <c r="BS328" s="206">
        <f>SUM(BQ328:BR328)</f>
        <v>6.559999999999999</v>
      </c>
    </row>
    <row r="329" spans="2:71" ht="13.5" customHeight="1">
      <c r="B329" s="245" t="s">
        <v>614</v>
      </c>
      <c r="C329" s="358" t="s">
        <v>615</v>
      </c>
      <c r="D329" s="78" t="s">
        <v>53</v>
      </c>
      <c r="E329" s="190">
        <v>8</v>
      </c>
      <c r="F329" s="214">
        <f t="shared" si="337"/>
        <v>0.0606</v>
      </c>
      <c r="G329" s="197">
        <f>ROUND(E329*F329,2)</f>
        <v>0.48</v>
      </c>
      <c r="H329" s="197">
        <f>ROUND(G329*($A$16+$A$17)/100,2)</f>
        <v>0</v>
      </c>
      <c r="I329" s="198">
        <f>SUM(G329:H329)</f>
        <v>0.48</v>
      </c>
      <c r="J329" s="257">
        <v>25</v>
      </c>
      <c r="K329" s="214">
        <f t="shared" si="341"/>
        <v>0.0482</v>
      </c>
      <c r="L329" s="197">
        <f>ROUND(J329*K329,2)</f>
        <v>1.21</v>
      </c>
      <c r="M329" s="197">
        <f>ROUND(L329*($A$16+$A$17)/100,2)</f>
        <v>0</v>
      </c>
      <c r="N329" s="198">
        <f>SUM(L329:M329)</f>
        <v>1.21</v>
      </c>
      <c r="O329" s="199">
        <f>SUM(I329,N329)</f>
        <v>1.69</v>
      </c>
      <c r="P329" s="245" t="s">
        <v>1052</v>
      </c>
      <c r="Q329" s="440" t="s">
        <v>1055</v>
      </c>
      <c r="R329" s="440"/>
      <c r="T329" s="22" t="s">
        <v>54</v>
      </c>
      <c r="U329" s="200">
        <f>O329</f>
        <v>1.69</v>
      </c>
      <c r="V329" s="200">
        <f>ROUND(U329*$S$19,2)</f>
        <v>0.17</v>
      </c>
      <c r="W329" s="197">
        <f>ROUND(SUM(U329:V329)*$AA$19,2)</f>
        <v>0.63</v>
      </c>
      <c r="X329" s="197">
        <f>ROUND(SUM(U329:V329)*$AA$21,2)</f>
        <v>0</v>
      </c>
      <c r="Y329" s="197">
        <f>ROUND(SUM(U329:V329)*$AA$20,2)</f>
        <v>0.03</v>
      </c>
      <c r="Z329" s="201">
        <f>ROUND(U329*$S$20,2)</f>
        <v>1.86</v>
      </c>
      <c r="AA329" s="202">
        <f>SUM(U329:Z329)</f>
        <v>4.38</v>
      </c>
      <c r="AB329" s="203">
        <f>ROUND(AA329*$S$21,2)</f>
        <v>1.31</v>
      </c>
      <c r="AC329" s="204">
        <f>SUM(AA329:AB329)</f>
        <v>5.6899999999999995</v>
      </c>
      <c r="AD329" s="205">
        <f>ROUND(AC329*$AD$19/95,2)</f>
        <v>0.3</v>
      </c>
      <c r="AE329" s="206">
        <f>SUM(AC329:AD329)</f>
        <v>5.989999999999999</v>
      </c>
      <c r="AG329" s="245" t="s">
        <v>1052</v>
      </c>
      <c r="AH329" s="440" t="s">
        <v>1055</v>
      </c>
      <c r="AI329" s="440"/>
      <c r="AL329" s="207">
        <f>AE329</f>
        <v>5.989999999999999</v>
      </c>
      <c r="AM329" s="207"/>
      <c r="AN329" s="207">
        <f>BS329</f>
        <v>3.6300000000000003</v>
      </c>
      <c r="AQ329" s="245" t="s">
        <v>1052</v>
      </c>
      <c r="AR329" s="440" t="s">
        <v>1055</v>
      </c>
      <c r="AS329" s="440"/>
      <c r="AT329" s="271">
        <v>5</v>
      </c>
      <c r="AU329" s="214">
        <f t="shared" si="323"/>
        <v>0.0606</v>
      </c>
      <c r="AV329" s="269">
        <f>ROUND(AT329*AU329,2)</f>
        <v>0.3</v>
      </c>
      <c r="AW329" s="269">
        <f>ROUND(AV329*($A$16+$A$17)/100,2)</f>
        <v>0</v>
      </c>
      <c r="AX329" s="198">
        <f>SUM(AV329:AW329)</f>
        <v>0.3</v>
      </c>
      <c r="AY329" s="29">
        <v>15</v>
      </c>
      <c r="AZ329" s="214">
        <f t="shared" si="327"/>
        <v>0.0482</v>
      </c>
      <c r="BA329" s="269">
        <f>ROUND(AY329*AZ329,2)</f>
        <v>0.72</v>
      </c>
      <c r="BB329" s="269">
        <f>ROUND(BA329*($A$16+$A$17)/100,2)</f>
        <v>0</v>
      </c>
      <c r="BC329" s="198">
        <f>SUM(BA329:BB329)</f>
        <v>0.72</v>
      </c>
      <c r="BD329" s="199">
        <f>SUM(AX329,BC329)</f>
        <v>1.02</v>
      </c>
      <c r="BE329" s="245" t="s">
        <v>1052</v>
      </c>
      <c r="BF329" s="440" t="s">
        <v>1055</v>
      </c>
      <c r="BG329" s="440"/>
      <c r="BI329" s="200">
        <f>BD329</f>
        <v>1.02</v>
      </c>
      <c r="BJ329" s="200">
        <f>ROUND(BI329*$S$19,2)</f>
        <v>0.11</v>
      </c>
      <c r="BK329" s="197">
        <f>ROUND(SUM(BI329:BJ329)*$AA$19,2)</f>
        <v>0.38</v>
      </c>
      <c r="BL329" s="197">
        <f>ROUND(SUM(BI329:BJ329)*$AA$21,2)</f>
        <v>0</v>
      </c>
      <c r="BM329" s="197">
        <f>ROUND(SUM(BI329:BJ329)*$AA$20,2)</f>
        <v>0.02</v>
      </c>
      <c r="BN329" s="201">
        <f>ROUND(BI329*$S$20,2)</f>
        <v>1.12</v>
      </c>
      <c r="BO329" s="202">
        <f>SUM(BI329:BN329)</f>
        <v>2.6500000000000004</v>
      </c>
      <c r="BP329" s="203">
        <f>ROUND(BO329*$S$21,2)</f>
        <v>0.8</v>
      </c>
      <c r="BQ329" s="204">
        <f>SUM(BO329:BP329)</f>
        <v>3.45</v>
      </c>
      <c r="BR329" s="205">
        <f>ROUND(BQ329*$AD$19/95,2)</f>
        <v>0.18</v>
      </c>
      <c r="BS329" s="206">
        <f>SUM(BQ329:BR329)</f>
        <v>3.6300000000000003</v>
      </c>
    </row>
    <row r="330" spans="2:59" ht="35.25" customHeight="1">
      <c r="B330" s="233" t="s">
        <v>617</v>
      </c>
      <c r="C330" s="234" t="s">
        <v>618</v>
      </c>
      <c r="D330" s="251"/>
      <c r="E330" s="255"/>
      <c r="F330" s="256"/>
      <c r="G330" s="253"/>
      <c r="H330" s="253"/>
      <c r="I330" s="254"/>
      <c r="J330" s="255"/>
      <c r="K330" s="255"/>
      <c r="L330" s="253"/>
      <c r="M330" s="253"/>
      <c r="N330" s="254"/>
      <c r="O330" s="220"/>
      <c r="P330" s="233" t="s">
        <v>617</v>
      </c>
      <c r="Q330" s="442" t="s">
        <v>618</v>
      </c>
      <c r="R330" s="442"/>
      <c r="U330" s="253"/>
      <c r="V330" s="253"/>
      <c r="W330" s="253"/>
      <c r="X330" s="253"/>
      <c r="Y330" s="253"/>
      <c r="Z330" s="253"/>
      <c r="AA330" s="253"/>
      <c r="AB330" s="253"/>
      <c r="AC330" s="253"/>
      <c r="AD330" s="253"/>
      <c r="AE330" s="220"/>
      <c r="AG330" s="233" t="s">
        <v>617</v>
      </c>
      <c r="AH330" s="442" t="s">
        <v>618</v>
      </c>
      <c r="AI330" s="442"/>
      <c r="AL330" s="207"/>
      <c r="AM330" s="207"/>
      <c r="AN330" s="207"/>
      <c r="AQ330" s="233" t="s">
        <v>617</v>
      </c>
      <c r="AR330" s="442" t="s">
        <v>618</v>
      </c>
      <c r="AS330" s="442"/>
      <c r="AT330" s="271"/>
      <c r="AU330" s="256"/>
      <c r="AV330" s="254"/>
      <c r="AW330" s="254"/>
      <c r="AX330" s="254"/>
      <c r="AY330" s="252"/>
      <c r="AZ330" s="256"/>
      <c r="BA330" s="254"/>
      <c r="BB330" s="254"/>
      <c r="BC330" s="254"/>
      <c r="BD330" s="220"/>
      <c r="BE330" s="233" t="s">
        <v>617</v>
      </c>
      <c r="BF330" s="442" t="s">
        <v>618</v>
      </c>
      <c r="BG330" s="442"/>
    </row>
    <row r="331" spans="2:59" ht="48" customHeight="1">
      <c r="B331" s="233" t="s">
        <v>619</v>
      </c>
      <c r="C331" s="234" t="s">
        <v>620</v>
      </c>
      <c r="D331" s="251"/>
      <c r="E331" s="255"/>
      <c r="F331" s="256"/>
      <c r="G331" s="253"/>
      <c r="H331" s="253"/>
      <c r="I331" s="254"/>
      <c r="J331" s="255"/>
      <c r="K331" s="255"/>
      <c r="L331" s="253"/>
      <c r="M331" s="253"/>
      <c r="N331" s="254"/>
      <c r="O331" s="220"/>
      <c r="P331" s="233" t="s">
        <v>619</v>
      </c>
      <c r="Q331" s="442" t="s">
        <v>620</v>
      </c>
      <c r="R331" s="442"/>
      <c r="U331" s="253"/>
      <c r="V331" s="253"/>
      <c r="W331" s="253"/>
      <c r="X331" s="253"/>
      <c r="Y331" s="253"/>
      <c r="Z331" s="253"/>
      <c r="AA331" s="253"/>
      <c r="AB331" s="253"/>
      <c r="AC331" s="253"/>
      <c r="AD331" s="253"/>
      <c r="AE331" s="220"/>
      <c r="AG331" s="233" t="s">
        <v>619</v>
      </c>
      <c r="AH331" s="442" t="s">
        <v>620</v>
      </c>
      <c r="AI331" s="442"/>
      <c r="AL331" s="207"/>
      <c r="AM331" s="207"/>
      <c r="AN331" s="207"/>
      <c r="AQ331" s="233" t="s">
        <v>619</v>
      </c>
      <c r="AR331" s="442" t="s">
        <v>620</v>
      </c>
      <c r="AS331" s="442"/>
      <c r="AT331" s="271"/>
      <c r="AU331" s="256"/>
      <c r="AV331" s="254"/>
      <c r="AW331" s="254"/>
      <c r="AX331" s="254"/>
      <c r="AY331" s="252"/>
      <c r="AZ331" s="256"/>
      <c r="BA331" s="254"/>
      <c r="BB331" s="254"/>
      <c r="BC331" s="254"/>
      <c r="BD331" s="220"/>
      <c r="BE331" s="233" t="s">
        <v>619</v>
      </c>
      <c r="BF331" s="442" t="s">
        <v>620</v>
      </c>
      <c r="BG331" s="442"/>
    </row>
    <row r="332" spans="2:71" ht="25.5">
      <c r="B332" s="237" t="s">
        <v>621</v>
      </c>
      <c r="C332" s="238" t="s">
        <v>622</v>
      </c>
      <c r="D332" s="78" t="s">
        <v>53</v>
      </c>
      <c r="E332" s="190">
        <v>5</v>
      </c>
      <c r="F332" s="214">
        <f>$G$16</f>
        <v>0.0606</v>
      </c>
      <c r="G332" s="197">
        <f>ROUND(E332*F332,2)</f>
        <v>0.3</v>
      </c>
      <c r="H332" s="197">
        <f>ROUND(G332*($A$16+$A$17)/100,2)</f>
        <v>0</v>
      </c>
      <c r="I332" s="198">
        <f>SUM(G332:H332)</f>
        <v>0.3</v>
      </c>
      <c r="J332" s="257">
        <v>10</v>
      </c>
      <c r="K332" s="214">
        <f>$G$19</f>
        <v>0.0482</v>
      </c>
      <c r="L332" s="197">
        <f>ROUND(J332*K332,2)</f>
        <v>0.48</v>
      </c>
      <c r="M332" s="197">
        <f>ROUND(L332*($A$16+$A$17)/100,2)</f>
        <v>0</v>
      </c>
      <c r="N332" s="198">
        <f>SUM(L332:M332)</f>
        <v>0.48</v>
      </c>
      <c r="O332" s="199">
        <f>SUM(I332,N332)</f>
        <v>0.78</v>
      </c>
      <c r="P332" s="237" t="s">
        <v>621</v>
      </c>
      <c r="Q332" s="439" t="s">
        <v>622</v>
      </c>
      <c r="R332" s="439"/>
      <c r="T332" t="s">
        <v>54</v>
      </c>
      <c r="U332" s="200">
        <f t="shared" si="346"/>
        <v>0.78</v>
      </c>
      <c r="V332" s="200">
        <f t="shared" si="347"/>
        <v>0.08</v>
      </c>
      <c r="W332" s="197">
        <f t="shared" si="348"/>
        <v>0.29</v>
      </c>
      <c r="X332" s="197">
        <f t="shared" si="349"/>
        <v>0</v>
      </c>
      <c r="Y332" s="197">
        <f t="shared" si="350"/>
        <v>0.01</v>
      </c>
      <c r="Z332" s="201">
        <f t="shared" si="351"/>
        <v>0.86</v>
      </c>
      <c r="AA332" s="202">
        <f t="shared" si="352"/>
        <v>2.02</v>
      </c>
      <c r="AB332" s="203">
        <f t="shared" si="353"/>
        <v>0.61</v>
      </c>
      <c r="AC332" s="204">
        <f t="shared" si="354"/>
        <v>2.63</v>
      </c>
      <c r="AD332" s="205">
        <f t="shared" si="355"/>
        <v>0.14</v>
      </c>
      <c r="AE332" s="206">
        <f t="shared" si="356"/>
        <v>2.77</v>
      </c>
      <c r="AG332" s="237" t="s">
        <v>621</v>
      </c>
      <c r="AH332" s="439" t="s">
        <v>622</v>
      </c>
      <c r="AI332" s="439"/>
      <c r="AL332" s="207">
        <f t="shared" si="332"/>
        <v>2.77</v>
      </c>
      <c r="AM332" s="207"/>
      <c r="AN332" s="207">
        <f t="shared" si="333"/>
        <v>2.77</v>
      </c>
      <c r="AQ332" s="237" t="s">
        <v>621</v>
      </c>
      <c r="AR332" s="439" t="s">
        <v>622</v>
      </c>
      <c r="AS332" s="439"/>
      <c r="AT332" s="271">
        <v>5</v>
      </c>
      <c r="AU332" s="214">
        <f t="shared" si="323"/>
        <v>0.0606</v>
      </c>
      <c r="AV332" s="269">
        <f t="shared" si="324"/>
        <v>0.3</v>
      </c>
      <c r="AW332" s="269">
        <f t="shared" si="325"/>
        <v>0</v>
      </c>
      <c r="AX332" s="198">
        <f t="shared" si="326"/>
        <v>0.3</v>
      </c>
      <c r="AY332" s="29">
        <v>10</v>
      </c>
      <c r="AZ332" s="214">
        <f t="shared" si="327"/>
        <v>0.0482</v>
      </c>
      <c r="BA332" s="269">
        <f t="shared" si="328"/>
        <v>0.48</v>
      </c>
      <c r="BB332" s="269">
        <f t="shared" si="329"/>
        <v>0</v>
      </c>
      <c r="BC332" s="198">
        <f t="shared" si="330"/>
        <v>0.48</v>
      </c>
      <c r="BD332" s="199">
        <f t="shared" si="331"/>
        <v>0.78</v>
      </c>
      <c r="BE332" s="237" t="s">
        <v>621</v>
      </c>
      <c r="BF332" s="439" t="s">
        <v>622</v>
      </c>
      <c r="BG332" s="439"/>
      <c r="BI332" s="200">
        <f>BD332</f>
        <v>0.78</v>
      </c>
      <c r="BJ332" s="200">
        <f>ROUND(BI332*$S$19,2)</f>
        <v>0.08</v>
      </c>
      <c r="BK332" s="197">
        <f>ROUND(SUM(BI332:BJ332)*$AA$19,2)</f>
        <v>0.29</v>
      </c>
      <c r="BL332" s="197">
        <f>ROUND(SUM(BI332:BJ332)*$AA$21,2)</f>
        <v>0</v>
      </c>
      <c r="BM332" s="197">
        <f>ROUND(SUM(BI332:BJ332)*$AA$20,2)</f>
        <v>0.01</v>
      </c>
      <c r="BN332" s="201">
        <f>ROUND(BI332*$S$20,2)</f>
        <v>0.86</v>
      </c>
      <c r="BO332" s="202">
        <f>SUM(BI332:BN332)</f>
        <v>2.02</v>
      </c>
      <c r="BP332" s="203">
        <f>ROUND(BO332*$S$21,2)</f>
        <v>0.61</v>
      </c>
      <c r="BQ332" s="204">
        <f>SUM(BO332:BP332)</f>
        <v>2.63</v>
      </c>
      <c r="BR332" s="205">
        <f>ROUND(BQ332*$AD$19/95,2)</f>
        <v>0.14</v>
      </c>
      <c r="BS332" s="206">
        <f>SUM(BQ332:BR332)</f>
        <v>2.77</v>
      </c>
    </row>
    <row r="333" spans="2:59" ht="38.25" customHeight="1">
      <c r="B333" s="230" t="s">
        <v>703</v>
      </c>
      <c r="C333" s="244" t="s">
        <v>642</v>
      </c>
      <c r="D333" s="78"/>
      <c r="E333" s="190"/>
      <c r="F333" s="214"/>
      <c r="G333" s="197"/>
      <c r="H333" s="197"/>
      <c r="I333" s="198"/>
      <c r="J333" s="257"/>
      <c r="K333" s="214"/>
      <c r="L333" s="197"/>
      <c r="M333" s="197"/>
      <c r="N333" s="198"/>
      <c r="O333" s="199"/>
      <c r="P333" s="230" t="s">
        <v>703</v>
      </c>
      <c r="Q333" s="441" t="s">
        <v>642</v>
      </c>
      <c r="R333" s="441"/>
      <c r="U333" s="253"/>
      <c r="V333" s="253"/>
      <c r="W333" s="253"/>
      <c r="X333" s="253"/>
      <c r="Y333" s="253"/>
      <c r="Z333" s="253"/>
      <c r="AA333" s="253"/>
      <c r="AB333" s="253"/>
      <c r="AC333" s="253"/>
      <c r="AD333" s="253"/>
      <c r="AE333" s="220"/>
      <c r="AG333" s="230" t="s">
        <v>703</v>
      </c>
      <c r="AH333" s="441" t="s">
        <v>642</v>
      </c>
      <c r="AI333" s="441"/>
      <c r="AL333" s="207"/>
      <c r="AM333" s="207"/>
      <c r="AN333" s="207"/>
      <c r="AQ333" s="230" t="s">
        <v>703</v>
      </c>
      <c r="AR333" s="441" t="s">
        <v>642</v>
      </c>
      <c r="AS333" s="441"/>
      <c r="AT333" s="271"/>
      <c r="AU333" s="256"/>
      <c r="AV333" s="254"/>
      <c r="AW333" s="254"/>
      <c r="AX333" s="254"/>
      <c r="AY333" s="252"/>
      <c r="AZ333" s="256"/>
      <c r="BA333" s="254"/>
      <c r="BB333" s="254"/>
      <c r="BC333" s="254"/>
      <c r="BD333" s="220"/>
      <c r="BE333" s="230" t="s">
        <v>703</v>
      </c>
      <c r="BF333" s="441" t="s">
        <v>642</v>
      </c>
      <c r="BG333" s="441"/>
    </row>
    <row r="334" spans="2:71" ht="16.5" customHeight="1">
      <c r="B334" s="237" t="s">
        <v>623</v>
      </c>
      <c r="C334" s="238" t="s">
        <v>624</v>
      </c>
      <c r="D334" s="78" t="s">
        <v>53</v>
      </c>
      <c r="E334" s="190">
        <v>9</v>
      </c>
      <c r="F334" s="214">
        <f>$G$16</f>
        <v>0.0606</v>
      </c>
      <c r="G334" s="197">
        <f>ROUND(E334*F334,2)</f>
        <v>0.55</v>
      </c>
      <c r="H334" s="197">
        <f>ROUND(G334*($A$16+$A$17)/100,2)</f>
        <v>0</v>
      </c>
      <c r="I334" s="198">
        <f>SUM(G334:H334)</f>
        <v>0.55</v>
      </c>
      <c r="J334" s="257">
        <v>16</v>
      </c>
      <c r="K334" s="214">
        <f>$G$19</f>
        <v>0.0482</v>
      </c>
      <c r="L334" s="197">
        <f>ROUND(J334*K334,2)</f>
        <v>0.77</v>
      </c>
      <c r="M334" s="197">
        <f>ROUND(L334*($A$16+$A$17)/100,2)</f>
        <v>0</v>
      </c>
      <c r="N334" s="198">
        <f>SUM(L334:M334)</f>
        <v>0.77</v>
      </c>
      <c r="O334" s="199">
        <f>SUM(I334,N334)</f>
        <v>1.32</v>
      </c>
      <c r="P334" s="237" t="s">
        <v>623</v>
      </c>
      <c r="Q334" s="439" t="s">
        <v>624</v>
      </c>
      <c r="R334" s="439"/>
      <c r="T334" t="s">
        <v>54</v>
      </c>
      <c r="U334" s="200">
        <f t="shared" si="346"/>
        <v>1.32</v>
      </c>
      <c r="V334" s="200">
        <f t="shared" si="347"/>
        <v>0.14</v>
      </c>
      <c r="W334" s="197">
        <f t="shared" si="348"/>
        <v>0.5</v>
      </c>
      <c r="X334" s="197">
        <f t="shared" si="349"/>
        <v>0</v>
      </c>
      <c r="Y334" s="197">
        <f t="shared" si="350"/>
        <v>0.02</v>
      </c>
      <c r="Z334" s="201">
        <f t="shared" si="351"/>
        <v>1.45</v>
      </c>
      <c r="AA334" s="202">
        <f t="shared" si="352"/>
        <v>3.4299999999999997</v>
      </c>
      <c r="AB334" s="203">
        <f t="shared" si="353"/>
        <v>1.03</v>
      </c>
      <c r="AC334" s="204">
        <f t="shared" si="354"/>
        <v>4.46</v>
      </c>
      <c r="AD334" s="205">
        <f t="shared" si="355"/>
        <v>0.23</v>
      </c>
      <c r="AE334" s="206">
        <f t="shared" si="356"/>
        <v>4.69</v>
      </c>
      <c r="AG334" s="237" t="s">
        <v>623</v>
      </c>
      <c r="AH334" s="439" t="s">
        <v>624</v>
      </c>
      <c r="AI334" s="439"/>
      <c r="AL334" s="207">
        <f t="shared" si="332"/>
        <v>4.69</v>
      </c>
      <c r="AM334" s="207"/>
      <c r="AN334" s="207">
        <f t="shared" si="333"/>
        <v>4.69</v>
      </c>
      <c r="AQ334" s="237" t="s">
        <v>623</v>
      </c>
      <c r="AR334" s="439" t="s">
        <v>624</v>
      </c>
      <c r="AS334" s="439"/>
      <c r="AT334" s="271">
        <v>9</v>
      </c>
      <c r="AU334" s="214">
        <f t="shared" si="323"/>
        <v>0.0606</v>
      </c>
      <c r="AV334" s="269">
        <f t="shared" si="324"/>
        <v>0.55</v>
      </c>
      <c r="AW334" s="269">
        <f t="shared" si="325"/>
        <v>0</v>
      </c>
      <c r="AX334" s="198">
        <f t="shared" si="326"/>
        <v>0.55</v>
      </c>
      <c r="AY334" s="29">
        <v>16</v>
      </c>
      <c r="AZ334" s="214">
        <f t="shared" si="327"/>
        <v>0.0482</v>
      </c>
      <c r="BA334" s="269">
        <f t="shared" si="328"/>
        <v>0.77</v>
      </c>
      <c r="BB334" s="269">
        <f t="shared" si="329"/>
        <v>0</v>
      </c>
      <c r="BC334" s="198">
        <f t="shared" si="330"/>
        <v>0.77</v>
      </c>
      <c r="BD334" s="199">
        <f t="shared" si="331"/>
        <v>1.32</v>
      </c>
      <c r="BE334" s="237" t="s">
        <v>623</v>
      </c>
      <c r="BF334" s="439" t="s">
        <v>624</v>
      </c>
      <c r="BG334" s="439"/>
      <c r="BI334" s="200">
        <f>BD334</f>
        <v>1.32</v>
      </c>
      <c r="BJ334" s="200">
        <f>ROUND(BI334*$S$19,2)</f>
        <v>0.14</v>
      </c>
      <c r="BK334" s="197">
        <f>ROUND(SUM(BI334:BJ334)*$AA$19,2)</f>
        <v>0.5</v>
      </c>
      <c r="BL334" s="197">
        <f>ROUND(SUM(BI334:BJ334)*$AA$21,2)</f>
        <v>0</v>
      </c>
      <c r="BM334" s="197">
        <f>ROUND(SUM(BI334:BJ334)*$AA$20,2)</f>
        <v>0.02</v>
      </c>
      <c r="BN334" s="201">
        <f>ROUND(BI334*$S$20,2)</f>
        <v>1.45</v>
      </c>
      <c r="BO334" s="202">
        <f>SUM(BI334:BN334)</f>
        <v>3.4299999999999997</v>
      </c>
      <c r="BP334" s="203">
        <f>ROUND(BO334*$S$21,2)</f>
        <v>1.03</v>
      </c>
      <c r="BQ334" s="204">
        <f>SUM(BO334:BP334)</f>
        <v>4.46</v>
      </c>
      <c r="BR334" s="205">
        <f>ROUND(BQ334*$AD$19/95,2)</f>
        <v>0.23</v>
      </c>
      <c r="BS334" s="206">
        <f>SUM(BQ334:BR334)</f>
        <v>4.69</v>
      </c>
    </row>
    <row r="335" spans="2:71" ht="15.75" customHeight="1">
      <c r="B335" s="237" t="s">
        <v>625</v>
      </c>
      <c r="C335" s="238" t="s">
        <v>626</v>
      </c>
      <c r="D335" s="78" t="s">
        <v>53</v>
      </c>
      <c r="E335" s="190">
        <v>13</v>
      </c>
      <c r="F335" s="214">
        <f>$G$16</f>
        <v>0.0606</v>
      </c>
      <c r="G335" s="197">
        <f>ROUND(E335*F335,2)</f>
        <v>0.79</v>
      </c>
      <c r="H335" s="197">
        <f>ROUND(G335*($A$16+$A$17)/100,2)</f>
        <v>0</v>
      </c>
      <c r="I335" s="198">
        <f>SUM(G335:H335)</f>
        <v>0.79</v>
      </c>
      <c r="J335" s="257">
        <v>22</v>
      </c>
      <c r="K335" s="214">
        <f>$G$19</f>
        <v>0.0482</v>
      </c>
      <c r="L335" s="197">
        <f>ROUND(J335*K335,2)</f>
        <v>1.06</v>
      </c>
      <c r="M335" s="197">
        <f>ROUND(L335*($A$16+$A$17)/100,2)</f>
        <v>0</v>
      </c>
      <c r="N335" s="198">
        <f>SUM(L335:M335)</f>
        <v>1.06</v>
      </c>
      <c r="O335" s="199">
        <f>SUM(I335,N335)</f>
        <v>1.85</v>
      </c>
      <c r="P335" s="237" t="s">
        <v>625</v>
      </c>
      <c r="Q335" s="439" t="s">
        <v>626</v>
      </c>
      <c r="R335" s="439"/>
      <c r="T335" t="s">
        <v>54</v>
      </c>
      <c r="U335" s="200">
        <f t="shared" si="346"/>
        <v>1.85</v>
      </c>
      <c r="V335" s="200">
        <f t="shared" si="347"/>
        <v>0.19</v>
      </c>
      <c r="W335" s="197">
        <f t="shared" si="348"/>
        <v>0.69</v>
      </c>
      <c r="X335" s="197">
        <f t="shared" si="349"/>
        <v>0</v>
      </c>
      <c r="Y335" s="197">
        <f t="shared" si="350"/>
        <v>0.03</v>
      </c>
      <c r="Z335" s="201">
        <f t="shared" si="351"/>
        <v>2.03</v>
      </c>
      <c r="AA335" s="202">
        <f t="shared" si="352"/>
        <v>4.789999999999999</v>
      </c>
      <c r="AB335" s="203">
        <f t="shared" si="353"/>
        <v>1.44</v>
      </c>
      <c r="AC335" s="204">
        <f t="shared" si="354"/>
        <v>6.229999999999999</v>
      </c>
      <c r="AD335" s="205">
        <f t="shared" si="355"/>
        <v>0.33</v>
      </c>
      <c r="AE335" s="206">
        <f t="shared" si="356"/>
        <v>6.559999999999999</v>
      </c>
      <c r="AG335" s="237" t="s">
        <v>625</v>
      </c>
      <c r="AH335" s="439" t="s">
        <v>626</v>
      </c>
      <c r="AI335" s="439"/>
      <c r="AL335" s="207">
        <f t="shared" si="332"/>
        <v>6.559999999999999</v>
      </c>
      <c r="AM335" s="207"/>
      <c r="AN335" s="207">
        <f t="shared" si="333"/>
        <v>6.559999999999999</v>
      </c>
      <c r="AQ335" s="237" t="s">
        <v>625</v>
      </c>
      <c r="AR335" s="439" t="s">
        <v>626</v>
      </c>
      <c r="AS335" s="439"/>
      <c r="AT335" s="271">
        <v>13</v>
      </c>
      <c r="AU335" s="214">
        <f t="shared" si="323"/>
        <v>0.0606</v>
      </c>
      <c r="AV335" s="269">
        <f t="shared" si="324"/>
        <v>0.79</v>
      </c>
      <c r="AW335" s="269">
        <f t="shared" si="325"/>
        <v>0</v>
      </c>
      <c r="AX335" s="198">
        <f t="shared" si="326"/>
        <v>0.79</v>
      </c>
      <c r="AY335" s="29">
        <v>22</v>
      </c>
      <c r="AZ335" s="214">
        <f t="shared" si="327"/>
        <v>0.0482</v>
      </c>
      <c r="BA335" s="269">
        <f t="shared" si="328"/>
        <v>1.06</v>
      </c>
      <c r="BB335" s="269">
        <f t="shared" si="329"/>
        <v>0</v>
      </c>
      <c r="BC335" s="198">
        <f t="shared" si="330"/>
        <v>1.06</v>
      </c>
      <c r="BD335" s="199">
        <f t="shared" si="331"/>
        <v>1.85</v>
      </c>
      <c r="BE335" s="237" t="s">
        <v>625</v>
      </c>
      <c r="BF335" s="439" t="s">
        <v>626</v>
      </c>
      <c r="BG335" s="439"/>
      <c r="BI335" s="200">
        <f>BD335</f>
        <v>1.85</v>
      </c>
      <c r="BJ335" s="200">
        <f>ROUND(BI335*$S$19,2)</f>
        <v>0.19</v>
      </c>
      <c r="BK335" s="197">
        <f>ROUND(SUM(BI335:BJ335)*$AA$19,2)</f>
        <v>0.69</v>
      </c>
      <c r="BL335" s="197">
        <f>ROUND(SUM(BI335:BJ335)*$AA$21,2)</f>
        <v>0</v>
      </c>
      <c r="BM335" s="197">
        <f>ROUND(SUM(BI335:BJ335)*$AA$20,2)</f>
        <v>0.03</v>
      </c>
      <c r="BN335" s="201">
        <f>ROUND(BI335*$S$20,2)</f>
        <v>2.03</v>
      </c>
      <c r="BO335" s="202">
        <f>SUM(BI335:BN335)</f>
        <v>4.789999999999999</v>
      </c>
      <c r="BP335" s="203">
        <f>ROUND(BO335*$S$21,2)</f>
        <v>1.44</v>
      </c>
      <c r="BQ335" s="204">
        <f>SUM(BO335:BP335)</f>
        <v>6.229999999999999</v>
      </c>
      <c r="BR335" s="205">
        <f>ROUND(BQ335*$AD$19/95,2)</f>
        <v>0.33</v>
      </c>
      <c r="BS335" s="206">
        <f>SUM(BQ335:BR335)</f>
        <v>6.559999999999999</v>
      </c>
    </row>
    <row r="336" spans="2:59" ht="38.25" customHeight="1">
      <c r="B336" s="233" t="s">
        <v>627</v>
      </c>
      <c r="C336" s="234" t="s">
        <v>628</v>
      </c>
      <c r="D336" s="251"/>
      <c r="E336" s="255"/>
      <c r="F336" s="256"/>
      <c r="G336" s="253"/>
      <c r="H336" s="253"/>
      <c r="I336" s="254"/>
      <c r="J336" s="255"/>
      <c r="K336" s="255"/>
      <c r="L336" s="253"/>
      <c r="M336" s="253"/>
      <c r="N336" s="254"/>
      <c r="O336" s="220"/>
      <c r="P336" s="233" t="s">
        <v>627</v>
      </c>
      <c r="Q336" s="442" t="s">
        <v>628</v>
      </c>
      <c r="R336" s="442"/>
      <c r="U336" s="253"/>
      <c r="V336" s="253"/>
      <c r="W336" s="253"/>
      <c r="X336" s="253"/>
      <c r="Y336" s="253"/>
      <c r="Z336" s="253"/>
      <c r="AA336" s="253"/>
      <c r="AB336" s="253"/>
      <c r="AC336" s="253"/>
      <c r="AD336" s="253"/>
      <c r="AE336" s="220"/>
      <c r="AG336" s="233" t="s">
        <v>627</v>
      </c>
      <c r="AH336" s="442" t="s">
        <v>628</v>
      </c>
      <c r="AI336" s="442"/>
      <c r="AL336" s="207"/>
      <c r="AM336" s="207"/>
      <c r="AN336" s="207"/>
      <c r="AQ336" s="233" t="s">
        <v>627</v>
      </c>
      <c r="AR336" s="442" t="s">
        <v>628</v>
      </c>
      <c r="AS336" s="442"/>
      <c r="AT336" s="271"/>
      <c r="AU336" s="256"/>
      <c r="AV336" s="254"/>
      <c r="AW336" s="254"/>
      <c r="AX336" s="254"/>
      <c r="AY336" s="252"/>
      <c r="AZ336" s="256"/>
      <c r="BA336" s="254"/>
      <c r="BB336" s="254"/>
      <c r="BC336" s="254"/>
      <c r="BD336" s="220"/>
      <c r="BE336" s="233" t="s">
        <v>627</v>
      </c>
      <c r="BF336" s="442" t="s">
        <v>628</v>
      </c>
      <c r="BG336" s="442"/>
    </row>
    <row r="337" spans="2:59" ht="15.75" customHeight="1">
      <c r="B337" s="233" t="s">
        <v>629</v>
      </c>
      <c r="C337" s="234" t="s">
        <v>630</v>
      </c>
      <c r="D337" s="251"/>
      <c r="E337" s="255"/>
      <c r="F337" s="256"/>
      <c r="G337" s="253"/>
      <c r="H337" s="253"/>
      <c r="I337" s="254"/>
      <c r="J337" s="255"/>
      <c r="K337" s="255"/>
      <c r="L337" s="253"/>
      <c r="M337" s="253"/>
      <c r="N337" s="254"/>
      <c r="O337" s="220"/>
      <c r="P337" s="233" t="s">
        <v>629</v>
      </c>
      <c r="Q337" s="442" t="s">
        <v>630</v>
      </c>
      <c r="R337" s="442"/>
      <c r="U337" s="253"/>
      <c r="V337" s="253"/>
      <c r="W337" s="253"/>
      <c r="X337" s="253"/>
      <c r="Y337" s="253"/>
      <c r="Z337" s="253"/>
      <c r="AA337" s="253"/>
      <c r="AB337" s="253"/>
      <c r="AC337" s="253"/>
      <c r="AD337" s="253"/>
      <c r="AE337" s="220"/>
      <c r="AG337" s="233" t="s">
        <v>629</v>
      </c>
      <c r="AH337" s="442" t="s">
        <v>630</v>
      </c>
      <c r="AI337" s="442"/>
      <c r="AL337" s="207"/>
      <c r="AM337" s="207"/>
      <c r="AN337" s="207"/>
      <c r="AQ337" s="233" t="s">
        <v>629</v>
      </c>
      <c r="AR337" s="442" t="s">
        <v>630</v>
      </c>
      <c r="AS337" s="442"/>
      <c r="AT337" s="271"/>
      <c r="AU337" s="256"/>
      <c r="AV337" s="254"/>
      <c r="AW337" s="254"/>
      <c r="AX337" s="254"/>
      <c r="AY337" s="252"/>
      <c r="AZ337" s="256"/>
      <c r="BA337" s="254"/>
      <c r="BB337" s="254"/>
      <c r="BC337" s="254"/>
      <c r="BD337" s="220"/>
      <c r="BE337" s="233" t="s">
        <v>629</v>
      </c>
      <c r="BF337" s="442" t="s">
        <v>630</v>
      </c>
      <c r="BG337" s="442"/>
    </row>
    <row r="338" spans="2:71" ht="20.25" customHeight="1">
      <c r="B338" s="237" t="s">
        <v>631</v>
      </c>
      <c r="C338" s="238" t="s">
        <v>545</v>
      </c>
      <c r="D338" s="78" t="s">
        <v>53</v>
      </c>
      <c r="E338" s="190">
        <v>4</v>
      </c>
      <c r="F338" s="214">
        <f>$G$16</f>
        <v>0.0606</v>
      </c>
      <c r="G338" s="197">
        <f>ROUND(E338*F338,2)</f>
        <v>0.24</v>
      </c>
      <c r="H338" s="197">
        <f>ROUND(G338*($A$16+$A$17)/100,2)</f>
        <v>0</v>
      </c>
      <c r="I338" s="198">
        <f>SUM(G338:H338)</f>
        <v>0.24</v>
      </c>
      <c r="J338" s="257">
        <v>8</v>
      </c>
      <c r="K338" s="214">
        <f>$G$19</f>
        <v>0.0482</v>
      </c>
      <c r="L338" s="197">
        <f>ROUND(J338*K338,2)</f>
        <v>0.39</v>
      </c>
      <c r="M338" s="197">
        <f>ROUND(L338*($A$16+$A$17)/100,2)</f>
        <v>0</v>
      </c>
      <c r="N338" s="198">
        <f>SUM(L338:M338)</f>
        <v>0.39</v>
      </c>
      <c r="O338" s="199">
        <f>SUM(I338,N338)</f>
        <v>0.63</v>
      </c>
      <c r="P338" s="237" t="s">
        <v>631</v>
      </c>
      <c r="Q338" s="439" t="s">
        <v>545</v>
      </c>
      <c r="R338" s="439"/>
      <c r="T338" t="s">
        <v>54</v>
      </c>
      <c r="U338" s="200">
        <f t="shared" si="346"/>
        <v>0.63</v>
      </c>
      <c r="V338" s="200">
        <f t="shared" si="347"/>
        <v>0.07</v>
      </c>
      <c r="W338" s="197">
        <f t="shared" si="348"/>
        <v>0.24</v>
      </c>
      <c r="X338" s="197">
        <f t="shared" si="349"/>
        <v>0</v>
      </c>
      <c r="Y338" s="197">
        <f t="shared" si="350"/>
        <v>0.01</v>
      </c>
      <c r="Z338" s="201">
        <f t="shared" si="351"/>
        <v>0.69</v>
      </c>
      <c r="AA338" s="202">
        <f t="shared" si="352"/>
        <v>1.64</v>
      </c>
      <c r="AB338" s="203">
        <f t="shared" si="353"/>
        <v>0.49</v>
      </c>
      <c r="AC338" s="204">
        <f t="shared" si="354"/>
        <v>2.13</v>
      </c>
      <c r="AD338" s="205">
        <f t="shared" si="355"/>
        <v>0.11</v>
      </c>
      <c r="AE338" s="206">
        <f t="shared" si="356"/>
        <v>2.2399999999999998</v>
      </c>
      <c r="AG338" s="237" t="s">
        <v>631</v>
      </c>
      <c r="AH338" s="439" t="s">
        <v>545</v>
      </c>
      <c r="AI338" s="439"/>
      <c r="AL338" s="207">
        <f t="shared" si="332"/>
        <v>2.2399999999999998</v>
      </c>
      <c r="AM338" s="207"/>
      <c r="AN338" s="207">
        <f t="shared" si="333"/>
        <v>2.2399999999999998</v>
      </c>
      <c r="AQ338" s="237" t="s">
        <v>631</v>
      </c>
      <c r="AR338" s="439" t="s">
        <v>545</v>
      </c>
      <c r="AS338" s="439"/>
      <c r="AT338" s="271">
        <v>4</v>
      </c>
      <c r="AU338" s="214">
        <f t="shared" si="323"/>
        <v>0.0606</v>
      </c>
      <c r="AV338" s="269">
        <f t="shared" si="324"/>
        <v>0.24</v>
      </c>
      <c r="AW338" s="269">
        <f t="shared" si="325"/>
        <v>0</v>
      </c>
      <c r="AX338" s="198">
        <f t="shared" si="326"/>
        <v>0.24</v>
      </c>
      <c r="AY338" s="29">
        <v>8</v>
      </c>
      <c r="AZ338" s="214">
        <f t="shared" si="327"/>
        <v>0.0482</v>
      </c>
      <c r="BA338" s="269">
        <f t="shared" si="328"/>
        <v>0.39</v>
      </c>
      <c r="BB338" s="269">
        <f t="shared" si="329"/>
        <v>0</v>
      </c>
      <c r="BC338" s="198">
        <f t="shared" si="330"/>
        <v>0.39</v>
      </c>
      <c r="BD338" s="199">
        <f t="shared" si="331"/>
        <v>0.63</v>
      </c>
      <c r="BE338" s="237" t="s">
        <v>631</v>
      </c>
      <c r="BF338" s="439" t="s">
        <v>545</v>
      </c>
      <c r="BG338" s="439"/>
      <c r="BI338" s="200">
        <f>BD338</f>
        <v>0.63</v>
      </c>
      <c r="BJ338" s="200">
        <f>ROUND(BI338*$S$19,2)</f>
        <v>0.07</v>
      </c>
      <c r="BK338" s="197">
        <f>ROUND(SUM(BI338:BJ338)*$AA$19,2)</f>
        <v>0.24</v>
      </c>
      <c r="BL338" s="197">
        <f>ROUND(SUM(BI338:BJ338)*$AA$21,2)</f>
        <v>0</v>
      </c>
      <c r="BM338" s="197">
        <f>ROUND(SUM(BI338:BJ338)*$AA$20,2)</f>
        <v>0.01</v>
      </c>
      <c r="BN338" s="201">
        <f>ROUND(BI338*$S$20,2)</f>
        <v>0.69</v>
      </c>
      <c r="BO338" s="202">
        <f>SUM(BI338:BN338)</f>
        <v>1.64</v>
      </c>
      <c r="BP338" s="203">
        <f>ROUND(BO338*$S$21,2)</f>
        <v>0.49</v>
      </c>
      <c r="BQ338" s="204">
        <f>SUM(BO338:BP338)</f>
        <v>2.13</v>
      </c>
      <c r="BR338" s="205">
        <f>ROUND(BQ338*$AD$19/95,2)</f>
        <v>0.11</v>
      </c>
      <c r="BS338" s="206">
        <f>SUM(BQ338:BR338)</f>
        <v>2.2399999999999998</v>
      </c>
    </row>
    <row r="339" spans="2:71" ht="38.25" customHeight="1">
      <c r="B339" s="237" t="s">
        <v>632</v>
      </c>
      <c r="C339" s="238" t="s">
        <v>559</v>
      </c>
      <c r="D339" s="78" t="s">
        <v>53</v>
      </c>
      <c r="E339" s="190">
        <v>7</v>
      </c>
      <c r="F339" s="214">
        <f>$G$16</f>
        <v>0.0606</v>
      </c>
      <c r="G339" s="197">
        <f>ROUND(E339*F339,2)</f>
        <v>0.42</v>
      </c>
      <c r="H339" s="197">
        <f>ROUND(G339*($A$16+$A$17)/100,2)</f>
        <v>0</v>
      </c>
      <c r="I339" s="198">
        <f>SUM(G339:H339)</f>
        <v>0.42</v>
      </c>
      <c r="J339" s="257">
        <v>11</v>
      </c>
      <c r="K339" s="214">
        <f>$G$19</f>
        <v>0.0482</v>
      </c>
      <c r="L339" s="197">
        <f>ROUND(J339*K339,2)</f>
        <v>0.53</v>
      </c>
      <c r="M339" s="197">
        <f>ROUND(L339*($A$16+$A$17)/100,2)</f>
        <v>0</v>
      </c>
      <c r="N339" s="198">
        <f>SUM(L339:M339)</f>
        <v>0.53</v>
      </c>
      <c r="O339" s="199">
        <f>SUM(I339,N339)</f>
        <v>0.95</v>
      </c>
      <c r="P339" s="237" t="s">
        <v>632</v>
      </c>
      <c r="Q339" s="439" t="s">
        <v>559</v>
      </c>
      <c r="R339" s="439"/>
      <c r="T339" t="s">
        <v>54</v>
      </c>
      <c r="U339" s="200">
        <f t="shared" si="346"/>
        <v>0.95</v>
      </c>
      <c r="V339" s="200">
        <f t="shared" si="347"/>
        <v>0.1</v>
      </c>
      <c r="W339" s="197">
        <f t="shared" si="348"/>
        <v>0.36</v>
      </c>
      <c r="X339" s="197">
        <f t="shared" si="349"/>
        <v>0</v>
      </c>
      <c r="Y339" s="197">
        <f t="shared" si="350"/>
        <v>0.02</v>
      </c>
      <c r="Z339" s="201">
        <f t="shared" si="351"/>
        <v>1.04</v>
      </c>
      <c r="AA339" s="202">
        <f t="shared" si="352"/>
        <v>2.47</v>
      </c>
      <c r="AB339" s="203">
        <f t="shared" si="353"/>
        <v>0.74</v>
      </c>
      <c r="AC339" s="204">
        <f t="shared" si="354"/>
        <v>3.21</v>
      </c>
      <c r="AD339" s="205">
        <f t="shared" si="355"/>
        <v>0.17</v>
      </c>
      <c r="AE339" s="206">
        <f t="shared" si="356"/>
        <v>3.38</v>
      </c>
      <c r="AG339" s="237" t="s">
        <v>632</v>
      </c>
      <c r="AH339" s="439" t="s">
        <v>559</v>
      </c>
      <c r="AI339" s="439"/>
      <c r="AL339" s="207">
        <f t="shared" si="332"/>
        <v>3.38</v>
      </c>
      <c r="AM339" s="207"/>
      <c r="AN339" s="207">
        <f t="shared" si="333"/>
        <v>3.38</v>
      </c>
      <c r="AQ339" s="237" t="s">
        <v>632</v>
      </c>
      <c r="AR339" s="439" t="s">
        <v>559</v>
      </c>
      <c r="AS339" s="439"/>
      <c r="AT339" s="271">
        <v>7</v>
      </c>
      <c r="AU339" s="214">
        <f t="shared" si="323"/>
        <v>0.0606</v>
      </c>
      <c r="AV339" s="269">
        <f t="shared" si="324"/>
        <v>0.42</v>
      </c>
      <c r="AW339" s="269">
        <f t="shared" si="325"/>
        <v>0</v>
      </c>
      <c r="AX339" s="198">
        <f t="shared" si="326"/>
        <v>0.42</v>
      </c>
      <c r="AY339" s="29">
        <v>11</v>
      </c>
      <c r="AZ339" s="214">
        <f t="shared" si="327"/>
        <v>0.0482</v>
      </c>
      <c r="BA339" s="269">
        <f t="shared" si="328"/>
        <v>0.53</v>
      </c>
      <c r="BB339" s="269">
        <f t="shared" si="329"/>
        <v>0</v>
      </c>
      <c r="BC339" s="198">
        <f t="shared" si="330"/>
        <v>0.53</v>
      </c>
      <c r="BD339" s="199">
        <f t="shared" si="331"/>
        <v>0.95</v>
      </c>
      <c r="BE339" s="237" t="s">
        <v>632</v>
      </c>
      <c r="BF339" s="439" t="s">
        <v>559</v>
      </c>
      <c r="BG339" s="439"/>
      <c r="BI339" s="200">
        <f>BD339</f>
        <v>0.95</v>
      </c>
      <c r="BJ339" s="200">
        <f>ROUND(BI339*$S$19,2)</f>
        <v>0.1</v>
      </c>
      <c r="BK339" s="197">
        <f>ROUND(SUM(BI339:BJ339)*$AA$19,2)</f>
        <v>0.36</v>
      </c>
      <c r="BL339" s="197">
        <f>ROUND(SUM(BI339:BJ339)*$AA$21,2)</f>
        <v>0</v>
      </c>
      <c r="BM339" s="197">
        <f>ROUND(SUM(BI339:BJ339)*$AA$20,2)</f>
        <v>0.02</v>
      </c>
      <c r="BN339" s="201">
        <f>ROUND(BI339*$S$20,2)</f>
        <v>1.04</v>
      </c>
      <c r="BO339" s="202">
        <f>SUM(BI339:BN339)</f>
        <v>2.47</v>
      </c>
      <c r="BP339" s="203">
        <f>ROUND(BO339*$S$21,2)</f>
        <v>0.74</v>
      </c>
      <c r="BQ339" s="204">
        <f>SUM(BO339:BP339)</f>
        <v>3.21</v>
      </c>
      <c r="BR339" s="205">
        <f>ROUND(BQ339*$AD$19/95,2)</f>
        <v>0.17</v>
      </c>
      <c r="BS339" s="206">
        <f>SUM(BQ339:BR339)</f>
        <v>3.38</v>
      </c>
    </row>
    <row r="340" spans="2:59" ht="17.25" customHeight="1">
      <c r="B340" s="233" t="s">
        <v>633</v>
      </c>
      <c r="C340" s="234" t="s">
        <v>634</v>
      </c>
      <c r="D340" s="251"/>
      <c r="E340" s="255"/>
      <c r="F340" s="256"/>
      <c r="G340" s="253"/>
      <c r="H340" s="253"/>
      <c r="I340" s="254"/>
      <c r="J340" s="255"/>
      <c r="K340" s="255"/>
      <c r="L340" s="253"/>
      <c r="M340" s="253"/>
      <c r="N340" s="254"/>
      <c r="O340" s="220"/>
      <c r="P340" s="233" t="s">
        <v>633</v>
      </c>
      <c r="Q340" s="442" t="s">
        <v>634</v>
      </c>
      <c r="R340" s="442"/>
      <c r="U340" s="253"/>
      <c r="V340" s="253"/>
      <c r="W340" s="253"/>
      <c r="X340" s="253"/>
      <c r="Y340" s="253"/>
      <c r="Z340" s="253"/>
      <c r="AA340" s="253"/>
      <c r="AB340" s="253"/>
      <c r="AC340" s="253"/>
      <c r="AD340" s="253"/>
      <c r="AE340" s="220"/>
      <c r="AG340" s="233" t="s">
        <v>633</v>
      </c>
      <c r="AH340" s="442" t="s">
        <v>634</v>
      </c>
      <c r="AI340" s="442"/>
      <c r="AL340" s="207"/>
      <c r="AM340" s="207"/>
      <c r="AN340" s="207"/>
      <c r="AQ340" s="233" t="s">
        <v>633</v>
      </c>
      <c r="AR340" s="442" t="s">
        <v>634</v>
      </c>
      <c r="AS340" s="442"/>
      <c r="AT340" s="271"/>
      <c r="AU340" s="256"/>
      <c r="AV340" s="254"/>
      <c r="AW340" s="254"/>
      <c r="AX340" s="254"/>
      <c r="AY340" s="252"/>
      <c r="AZ340" s="256"/>
      <c r="BA340" s="254"/>
      <c r="BB340" s="254"/>
      <c r="BC340" s="254"/>
      <c r="BD340" s="220"/>
      <c r="BE340" s="233" t="s">
        <v>633</v>
      </c>
      <c r="BF340" s="442" t="s">
        <v>634</v>
      </c>
      <c r="BG340" s="442"/>
    </row>
    <row r="341" spans="2:71" ht="23.25" customHeight="1">
      <c r="B341" s="237" t="s">
        <v>635</v>
      </c>
      <c r="C341" s="238" t="s">
        <v>636</v>
      </c>
      <c r="D341" s="78" t="s">
        <v>53</v>
      </c>
      <c r="E341" s="190">
        <v>10</v>
      </c>
      <c r="F341" s="214">
        <f>$G$16</f>
        <v>0.0606</v>
      </c>
      <c r="G341" s="197">
        <f>ROUND(E341*F341,2)</f>
        <v>0.61</v>
      </c>
      <c r="H341" s="197">
        <f>ROUND(G341*($A$16+$A$17)/100,2)</f>
        <v>0</v>
      </c>
      <c r="I341" s="198">
        <f>SUM(G341:H341)</f>
        <v>0.61</v>
      </c>
      <c r="J341" s="257">
        <v>20</v>
      </c>
      <c r="K341" s="214">
        <f>$G$19</f>
        <v>0.0482</v>
      </c>
      <c r="L341" s="197">
        <f>ROUND(J341*K341,2)</f>
        <v>0.96</v>
      </c>
      <c r="M341" s="197">
        <f>ROUND(L341*($A$16+$A$17)/100,2)</f>
        <v>0</v>
      </c>
      <c r="N341" s="198">
        <f>SUM(L341:M341)</f>
        <v>0.96</v>
      </c>
      <c r="O341" s="199">
        <f>SUM(I341,N341)</f>
        <v>1.5699999999999998</v>
      </c>
      <c r="P341" s="237" t="s">
        <v>635</v>
      </c>
      <c r="Q341" s="439" t="s">
        <v>636</v>
      </c>
      <c r="R341" s="439"/>
      <c r="T341" t="s">
        <v>54</v>
      </c>
      <c r="U341" s="200">
        <f t="shared" si="346"/>
        <v>1.5699999999999998</v>
      </c>
      <c r="V341" s="200">
        <f t="shared" si="347"/>
        <v>0.16</v>
      </c>
      <c r="W341" s="197">
        <f t="shared" si="348"/>
        <v>0.59</v>
      </c>
      <c r="X341" s="197">
        <f t="shared" si="349"/>
        <v>0</v>
      </c>
      <c r="Y341" s="197">
        <f t="shared" si="350"/>
        <v>0.03</v>
      </c>
      <c r="Z341" s="201">
        <f t="shared" si="351"/>
        <v>1.72</v>
      </c>
      <c r="AA341" s="202">
        <f t="shared" si="352"/>
        <v>4.069999999999999</v>
      </c>
      <c r="AB341" s="203">
        <f t="shared" si="353"/>
        <v>1.22</v>
      </c>
      <c r="AC341" s="204">
        <f t="shared" si="354"/>
        <v>5.289999999999999</v>
      </c>
      <c r="AD341" s="205">
        <f t="shared" si="355"/>
        <v>0.28</v>
      </c>
      <c r="AE341" s="206">
        <f t="shared" si="356"/>
        <v>5.569999999999999</v>
      </c>
      <c r="AG341" s="237" t="s">
        <v>635</v>
      </c>
      <c r="AH341" s="439" t="s">
        <v>636</v>
      </c>
      <c r="AI341" s="439"/>
      <c r="AL341" s="207">
        <f t="shared" si="332"/>
        <v>5.569999999999999</v>
      </c>
      <c r="AM341" s="207"/>
      <c r="AN341" s="207">
        <f t="shared" si="333"/>
        <v>5.569999999999999</v>
      </c>
      <c r="AQ341" s="237" t="s">
        <v>635</v>
      </c>
      <c r="AR341" s="439" t="s">
        <v>636</v>
      </c>
      <c r="AS341" s="439"/>
      <c r="AT341" s="271">
        <v>10</v>
      </c>
      <c r="AU341" s="214">
        <f t="shared" si="323"/>
        <v>0.0606</v>
      </c>
      <c r="AV341" s="269">
        <f t="shared" si="324"/>
        <v>0.61</v>
      </c>
      <c r="AW341" s="269">
        <f t="shared" si="325"/>
        <v>0</v>
      </c>
      <c r="AX341" s="198">
        <f t="shared" si="326"/>
        <v>0.61</v>
      </c>
      <c r="AY341" s="29">
        <v>20</v>
      </c>
      <c r="AZ341" s="214">
        <f t="shared" si="327"/>
        <v>0.0482</v>
      </c>
      <c r="BA341" s="269">
        <f t="shared" si="328"/>
        <v>0.96</v>
      </c>
      <c r="BB341" s="269">
        <f t="shared" si="329"/>
        <v>0</v>
      </c>
      <c r="BC341" s="198">
        <f t="shared" si="330"/>
        <v>0.96</v>
      </c>
      <c r="BD341" s="199">
        <f t="shared" si="331"/>
        <v>1.5699999999999998</v>
      </c>
      <c r="BE341" s="237" t="s">
        <v>635</v>
      </c>
      <c r="BF341" s="439" t="s">
        <v>636</v>
      </c>
      <c r="BG341" s="439"/>
      <c r="BI341" s="200">
        <f>BD341</f>
        <v>1.5699999999999998</v>
      </c>
      <c r="BJ341" s="200">
        <f>ROUND(BI341*$S$19,2)</f>
        <v>0.16</v>
      </c>
      <c r="BK341" s="197">
        <f>ROUND(SUM(BI341:BJ341)*$AA$19,2)</f>
        <v>0.59</v>
      </c>
      <c r="BL341" s="197">
        <f>ROUND(SUM(BI341:BJ341)*$AA$21,2)</f>
        <v>0</v>
      </c>
      <c r="BM341" s="197">
        <f>ROUND(SUM(BI341:BJ341)*$AA$20,2)</f>
        <v>0.03</v>
      </c>
      <c r="BN341" s="201">
        <f>ROUND(BI341*$S$20,2)</f>
        <v>1.72</v>
      </c>
      <c r="BO341" s="202">
        <f>SUM(BI341:BN341)</f>
        <v>4.069999999999999</v>
      </c>
      <c r="BP341" s="203">
        <f>ROUND(BO341*$S$21,2)</f>
        <v>1.22</v>
      </c>
      <c r="BQ341" s="204">
        <f>SUM(BO341:BP341)</f>
        <v>5.289999999999999</v>
      </c>
      <c r="BR341" s="205">
        <f>ROUND(BQ341*$AD$19/95,2)</f>
        <v>0.28</v>
      </c>
      <c r="BS341" s="206">
        <f>SUM(BQ341:BR341)</f>
        <v>5.569999999999999</v>
      </c>
    </row>
    <row r="342" spans="2:59" ht="51" customHeight="1">
      <c r="B342" s="239" t="s">
        <v>637</v>
      </c>
      <c r="C342" s="240" t="s">
        <v>638</v>
      </c>
      <c r="D342" s="251"/>
      <c r="E342" s="255"/>
      <c r="F342" s="256"/>
      <c r="G342" s="253"/>
      <c r="H342" s="253"/>
      <c r="I342" s="254"/>
      <c r="J342" s="255"/>
      <c r="K342" s="256"/>
      <c r="L342" s="253"/>
      <c r="M342" s="253"/>
      <c r="N342" s="254"/>
      <c r="O342" s="220"/>
      <c r="P342" s="239" t="s">
        <v>637</v>
      </c>
      <c r="Q342" s="437" t="s">
        <v>638</v>
      </c>
      <c r="R342" s="437"/>
      <c r="U342" s="253"/>
      <c r="V342" s="253"/>
      <c r="W342" s="253"/>
      <c r="X342" s="253"/>
      <c r="Y342" s="253"/>
      <c r="Z342" s="253"/>
      <c r="AA342" s="253"/>
      <c r="AB342" s="253"/>
      <c r="AC342" s="253"/>
      <c r="AD342" s="253"/>
      <c r="AE342" s="220"/>
      <c r="AG342" s="239" t="s">
        <v>637</v>
      </c>
      <c r="AH342" s="437" t="s">
        <v>638</v>
      </c>
      <c r="AI342" s="437"/>
      <c r="AL342" s="207"/>
      <c r="AM342" s="207"/>
      <c r="AN342" s="207"/>
      <c r="AQ342" s="239" t="s">
        <v>637</v>
      </c>
      <c r="AR342" s="437" t="s">
        <v>638</v>
      </c>
      <c r="AS342" s="437"/>
      <c r="AT342" s="271"/>
      <c r="AU342" s="256"/>
      <c r="AV342" s="254"/>
      <c r="AW342" s="254"/>
      <c r="AX342" s="254"/>
      <c r="AY342" s="252"/>
      <c r="AZ342" s="256"/>
      <c r="BA342" s="254"/>
      <c r="BB342" s="254"/>
      <c r="BC342" s="254"/>
      <c r="BD342" s="220"/>
      <c r="BE342" s="239" t="s">
        <v>637</v>
      </c>
      <c r="BF342" s="437" t="s">
        <v>638</v>
      </c>
      <c r="BG342" s="437"/>
    </row>
    <row r="343" spans="2:71" ht="38.25" customHeight="1">
      <c r="B343" s="237" t="s">
        <v>639</v>
      </c>
      <c r="C343" s="238" t="s">
        <v>640</v>
      </c>
      <c r="D343" s="78" t="s">
        <v>53</v>
      </c>
      <c r="E343" s="190">
        <v>5</v>
      </c>
      <c r="F343" s="214">
        <f>$G$16</f>
        <v>0.0606</v>
      </c>
      <c r="G343" s="197">
        <f>ROUND(E343*F343,2)</f>
        <v>0.3</v>
      </c>
      <c r="H343" s="197">
        <f>ROUND(G343*($A$16+$A$17)/100,2)</f>
        <v>0</v>
      </c>
      <c r="I343" s="198">
        <f>SUM(G343:H343)</f>
        <v>0.3</v>
      </c>
      <c r="J343" s="257">
        <v>10</v>
      </c>
      <c r="K343" s="214">
        <f>$G$19</f>
        <v>0.0482</v>
      </c>
      <c r="L343" s="197">
        <f>ROUND(J343*K343,2)</f>
        <v>0.48</v>
      </c>
      <c r="M343" s="197">
        <f>ROUND(L343*($A$16+$A$17)/100,2)</f>
        <v>0</v>
      </c>
      <c r="N343" s="198">
        <f>SUM(L343:M343)</f>
        <v>0.48</v>
      </c>
      <c r="O343" s="199">
        <f>SUM(I343,N343)</f>
        <v>0.78</v>
      </c>
      <c r="P343" s="237" t="s">
        <v>639</v>
      </c>
      <c r="Q343" s="439" t="s">
        <v>640</v>
      </c>
      <c r="R343" s="439"/>
      <c r="T343" t="s">
        <v>54</v>
      </c>
      <c r="U343" s="200">
        <f t="shared" si="346"/>
        <v>0.78</v>
      </c>
      <c r="V343" s="200">
        <f t="shared" si="347"/>
        <v>0.08</v>
      </c>
      <c r="W343" s="197">
        <f t="shared" si="348"/>
        <v>0.29</v>
      </c>
      <c r="X343" s="197">
        <f t="shared" si="349"/>
        <v>0</v>
      </c>
      <c r="Y343" s="197">
        <f t="shared" si="350"/>
        <v>0.01</v>
      </c>
      <c r="Z343" s="201">
        <f t="shared" si="351"/>
        <v>0.86</v>
      </c>
      <c r="AA343" s="202">
        <f t="shared" si="352"/>
        <v>2.02</v>
      </c>
      <c r="AB343" s="203">
        <f t="shared" si="353"/>
        <v>0.61</v>
      </c>
      <c r="AC343" s="204">
        <f t="shared" si="354"/>
        <v>2.63</v>
      </c>
      <c r="AD343" s="205">
        <f t="shared" si="355"/>
        <v>0.14</v>
      </c>
      <c r="AE343" s="206">
        <f t="shared" si="356"/>
        <v>2.77</v>
      </c>
      <c r="AG343" s="237" t="s">
        <v>639</v>
      </c>
      <c r="AH343" s="439" t="s">
        <v>640</v>
      </c>
      <c r="AI343" s="439"/>
      <c r="AL343" s="207">
        <f t="shared" si="332"/>
        <v>2.77</v>
      </c>
      <c r="AM343" s="207"/>
      <c r="AN343" s="207">
        <f t="shared" si="333"/>
        <v>2.77</v>
      </c>
      <c r="AQ343" s="237" t="s">
        <v>639</v>
      </c>
      <c r="AR343" s="439" t="s">
        <v>640</v>
      </c>
      <c r="AS343" s="439"/>
      <c r="AT343" s="271">
        <v>5</v>
      </c>
      <c r="AU343" s="214">
        <f t="shared" si="323"/>
        <v>0.0606</v>
      </c>
      <c r="AV343" s="269">
        <f t="shared" si="324"/>
        <v>0.3</v>
      </c>
      <c r="AW343" s="269">
        <f t="shared" si="325"/>
        <v>0</v>
      </c>
      <c r="AX343" s="198">
        <f t="shared" si="326"/>
        <v>0.3</v>
      </c>
      <c r="AY343" s="29">
        <v>10</v>
      </c>
      <c r="AZ343" s="214">
        <f t="shared" si="327"/>
        <v>0.0482</v>
      </c>
      <c r="BA343" s="269">
        <f t="shared" si="328"/>
        <v>0.48</v>
      </c>
      <c r="BB343" s="269">
        <f t="shared" si="329"/>
        <v>0</v>
      </c>
      <c r="BC343" s="198">
        <f t="shared" si="330"/>
        <v>0.48</v>
      </c>
      <c r="BD343" s="199">
        <f t="shared" si="331"/>
        <v>0.78</v>
      </c>
      <c r="BE343" s="237" t="s">
        <v>639</v>
      </c>
      <c r="BF343" s="439" t="s">
        <v>640</v>
      </c>
      <c r="BG343" s="439"/>
      <c r="BI343" s="200">
        <f>BD343</f>
        <v>0.78</v>
      </c>
      <c r="BJ343" s="200">
        <f>ROUND(BI343*$S$19,2)</f>
        <v>0.08</v>
      </c>
      <c r="BK343" s="197">
        <f>ROUND(SUM(BI343:BJ343)*$AA$19,2)</f>
        <v>0.29</v>
      </c>
      <c r="BL343" s="197">
        <f>ROUND(SUM(BI343:BJ343)*$AA$21,2)</f>
        <v>0</v>
      </c>
      <c r="BM343" s="197">
        <f>ROUND(SUM(BI343:BJ343)*$AA$20,2)</f>
        <v>0.01</v>
      </c>
      <c r="BN343" s="201">
        <f>ROUND(BI343*$S$20,2)</f>
        <v>0.86</v>
      </c>
      <c r="BO343" s="202">
        <f>SUM(BI343:BN343)</f>
        <v>2.02</v>
      </c>
      <c r="BP343" s="203">
        <f>ROUND(BO343*$S$21,2)</f>
        <v>0.61</v>
      </c>
      <c r="BQ343" s="204">
        <f>SUM(BO343:BP343)</f>
        <v>2.63</v>
      </c>
      <c r="BR343" s="205">
        <f>ROUND(BQ343*$AD$19/95,2)</f>
        <v>0.14</v>
      </c>
      <c r="BS343" s="206">
        <f>SUM(BQ343:BR343)</f>
        <v>2.77</v>
      </c>
    </row>
    <row r="344" spans="2:59" ht="38.25" customHeight="1">
      <c r="B344" s="233" t="s">
        <v>641</v>
      </c>
      <c r="C344" s="234" t="s">
        <v>642</v>
      </c>
      <c r="D344" s="251"/>
      <c r="E344" s="255"/>
      <c r="F344" s="256"/>
      <c r="G344" s="253"/>
      <c r="H344" s="253"/>
      <c r="I344" s="254"/>
      <c r="J344" s="255"/>
      <c r="K344" s="255"/>
      <c r="L344" s="253"/>
      <c r="M344" s="253"/>
      <c r="N344" s="254"/>
      <c r="O344" s="220"/>
      <c r="P344" s="233" t="s">
        <v>641</v>
      </c>
      <c r="Q344" s="442" t="s">
        <v>642</v>
      </c>
      <c r="R344" s="442"/>
      <c r="U344" s="253"/>
      <c r="V344" s="253"/>
      <c r="W344" s="253"/>
      <c r="X344" s="253"/>
      <c r="Y344" s="253"/>
      <c r="Z344" s="253"/>
      <c r="AA344" s="253"/>
      <c r="AB344" s="253"/>
      <c r="AC344" s="253"/>
      <c r="AD344" s="253"/>
      <c r="AE344" s="220"/>
      <c r="AG344" s="233" t="s">
        <v>641</v>
      </c>
      <c r="AH344" s="442" t="s">
        <v>642</v>
      </c>
      <c r="AI344" s="442"/>
      <c r="AL344" s="207"/>
      <c r="AM344" s="207"/>
      <c r="AN344" s="207"/>
      <c r="AQ344" s="233" t="s">
        <v>641</v>
      </c>
      <c r="AR344" s="442" t="s">
        <v>642</v>
      </c>
      <c r="AS344" s="442"/>
      <c r="AT344" s="271"/>
      <c r="AU344" s="256"/>
      <c r="AV344" s="254"/>
      <c r="AW344" s="254"/>
      <c r="AX344" s="254"/>
      <c r="AY344" s="252"/>
      <c r="AZ344" s="256"/>
      <c r="BA344" s="254"/>
      <c r="BB344" s="254"/>
      <c r="BC344" s="254"/>
      <c r="BD344" s="220"/>
      <c r="BE344" s="233" t="s">
        <v>641</v>
      </c>
      <c r="BF344" s="442" t="s">
        <v>642</v>
      </c>
      <c r="BG344" s="442"/>
    </row>
    <row r="345" spans="2:71" ht="21.75" customHeight="1">
      <c r="B345" s="237" t="s">
        <v>643</v>
      </c>
      <c r="C345" s="238" t="s">
        <v>644</v>
      </c>
      <c r="D345" s="78" t="s">
        <v>53</v>
      </c>
      <c r="E345" s="190">
        <v>7</v>
      </c>
      <c r="F345" s="214">
        <f>$G$16</f>
        <v>0.0606</v>
      </c>
      <c r="G345" s="197">
        <f>ROUND(E345*F345,2)</f>
        <v>0.42</v>
      </c>
      <c r="H345" s="197">
        <f>ROUND(G345*($A$16+$A$17)/100,2)</f>
        <v>0</v>
      </c>
      <c r="I345" s="198">
        <f>SUM(G345:H345)</f>
        <v>0.42</v>
      </c>
      <c r="J345" s="257">
        <v>13</v>
      </c>
      <c r="K345" s="214">
        <f>$G$19</f>
        <v>0.0482</v>
      </c>
      <c r="L345" s="197">
        <f>ROUND(J345*K345,2)</f>
        <v>0.63</v>
      </c>
      <c r="M345" s="197">
        <f>ROUND(L345*($A$16+$A$17)/100,2)</f>
        <v>0</v>
      </c>
      <c r="N345" s="198">
        <f>SUM(L345:M345)</f>
        <v>0.63</v>
      </c>
      <c r="O345" s="199">
        <f>SUM(I345,N345)</f>
        <v>1.05</v>
      </c>
      <c r="P345" s="237" t="s">
        <v>643</v>
      </c>
      <c r="Q345" s="439" t="s">
        <v>644</v>
      </c>
      <c r="R345" s="439"/>
      <c r="T345" t="s">
        <v>54</v>
      </c>
      <c r="U345" s="200">
        <f t="shared" si="346"/>
        <v>1.05</v>
      </c>
      <c r="V345" s="200">
        <f t="shared" si="347"/>
        <v>0.11</v>
      </c>
      <c r="W345" s="197">
        <f t="shared" si="348"/>
        <v>0.39</v>
      </c>
      <c r="X345" s="197">
        <f t="shared" si="349"/>
        <v>0</v>
      </c>
      <c r="Y345" s="197">
        <f t="shared" si="350"/>
        <v>0.02</v>
      </c>
      <c r="Z345" s="201">
        <f t="shared" si="351"/>
        <v>1.15</v>
      </c>
      <c r="AA345" s="202">
        <f t="shared" si="352"/>
        <v>2.72</v>
      </c>
      <c r="AB345" s="203">
        <f t="shared" si="353"/>
        <v>0.82</v>
      </c>
      <c r="AC345" s="204">
        <f t="shared" si="354"/>
        <v>3.54</v>
      </c>
      <c r="AD345" s="205">
        <f t="shared" si="355"/>
        <v>0.19</v>
      </c>
      <c r="AE345" s="206">
        <f t="shared" si="356"/>
        <v>3.73</v>
      </c>
      <c r="AG345" s="237" t="s">
        <v>643</v>
      </c>
      <c r="AH345" s="439" t="s">
        <v>644</v>
      </c>
      <c r="AI345" s="439"/>
      <c r="AL345" s="207">
        <f t="shared" si="332"/>
        <v>3.73</v>
      </c>
      <c r="AM345" s="207"/>
      <c r="AN345" s="207">
        <f t="shared" si="333"/>
        <v>3.73</v>
      </c>
      <c r="AQ345" s="237" t="s">
        <v>643</v>
      </c>
      <c r="AR345" s="439" t="s">
        <v>644</v>
      </c>
      <c r="AS345" s="439"/>
      <c r="AT345" s="271">
        <v>7</v>
      </c>
      <c r="AU345" s="214">
        <f t="shared" si="323"/>
        <v>0.0606</v>
      </c>
      <c r="AV345" s="269">
        <f t="shared" si="324"/>
        <v>0.42</v>
      </c>
      <c r="AW345" s="269">
        <f t="shared" si="325"/>
        <v>0</v>
      </c>
      <c r="AX345" s="198">
        <f t="shared" si="326"/>
        <v>0.42</v>
      </c>
      <c r="AY345" s="29">
        <v>13</v>
      </c>
      <c r="AZ345" s="214">
        <f t="shared" si="327"/>
        <v>0.0482</v>
      </c>
      <c r="BA345" s="269">
        <f t="shared" si="328"/>
        <v>0.63</v>
      </c>
      <c r="BB345" s="269">
        <f t="shared" si="329"/>
        <v>0</v>
      </c>
      <c r="BC345" s="198">
        <f t="shared" si="330"/>
        <v>0.63</v>
      </c>
      <c r="BD345" s="199">
        <f t="shared" si="331"/>
        <v>1.05</v>
      </c>
      <c r="BE345" s="237" t="s">
        <v>643</v>
      </c>
      <c r="BF345" s="439" t="s">
        <v>644</v>
      </c>
      <c r="BG345" s="439"/>
      <c r="BI345" s="200">
        <f>BD345</f>
        <v>1.05</v>
      </c>
      <c r="BJ345" s="200">
        <f>ROUND(BI345*$S$19,2)</f>
        <v>0.11</v>
      </c>
      <c r="BK345" s="197">
        <f>ROUND(SUM(BI345:BJ345)*$AA$19,2)</f>
        <v>0.39</v>
      </c>
      <c r="BL345" s="197">
        <f>ROUND(SUM(BI345:BJ345)*$AA$21,2)</f>
        <v>0</v>
      </c>
      <c r="BM345" s="197">
        <f>ROUND(SUM(BI345:BJ345)*$AA$20,2)</f>
        <v>0.02</v>
      </c>
      <c r="BN345" s="201">
        <f>ROUND(BI345*$S$20,2)</f>
        <v>1.15</v>
      </c>
      <c r="BO345" s="202">
        <f>SUM(BI345:BN345)</f>
        <v>2.72</v>
      </c>
      <c r="BP345" s="203">
        <f>ROUND(BO345*$S$21,2)</f>
        <v>0.82</v>
      </c>
      <c r="BQ345" s="204">
        <f>SUM(BO345:BP345)</f>
        <v>3.54</v>
      </c>
      <c r="BR345" s="205">
        <f>ROUND(BQ345*$AD$19/95,2)</f>
        <v>0.19</v>
      </c>
      <c r="BS345" s="206">
        <f>SUM(BQ345:BR345)</f>
        <v>3.73</v>
      </c>
    </row>
    <row r="346" spans="2:71" ht="22.5" customHeight="1">
      <c r="B346" s="237" t="s">
        <v>645</v>
      </c>
      <c r="C346" s="238" t="s">
        <v>626</v>
      </c>
      <c r="D346" s="78" t="s">
        <v>53</v>
      </c>
      <c r="E346" s="190">
        <v>9</v>
      </c>
      <c r="F346" s="214">
        <f>$G$16</f>
        <v>0.0606</v>
      </c>
      <c r="G346" s="197">
        <f>ROUND(E346*F346,2)</f>
        <v>0.55</v>
      </c>
      <c r="H346" s="197">
        <f>ROUND(G346*($A$16+$A$17)/100,2)</f>
        <v>0</v>
      </c>
      <c r="I346" s="198">
        <f>SUM(G346:H346)</f>
        <v>0.55</v>
      </c>
      <c r="J346" s="257">
        <v>16</v>
      </c>
      <c r="K346" s="214">
        <f>$G$19</f>
        <v>0.0482</v>
      </c>
      <c r="L346" s="197">
        <f>ROUND(J346*K346,2)</f>
        <v>0.77</v>
      </c>
      <c r="M346" s="197">
        <f>ROUND(L346*($A$16+$A$17)/100,2)</f>
        <v>0</v>
      </c>
      <c r="N346" s="198">
        <f>SUM(L346:M346)</f>
        <v>0.77</v>
      </c>
      <c r="O346" s="199">
        <f>SUM(I346,N346)</f>
        <v>1.32</v>
      </c>
      <c r="P346" s="237" t="s">
        <v>645</v>
      </c>
      <c r="Q346" s="439" t="s">
        <v>626</v>
      </c>
      <c r="R346" s="439"/>
      <c r="T346" t="s">
        <v>54</v>
      </c>
      <c r="U346" s="200">
        <f t="shared" si="346"/>
        <v>1.32</v>
      </c>
      <c r="V346" s="200">
        <f t="shared" si="347"/>
        <v>0.14</v>
      </c>
      <c r="W346" s="197">
        <f t="shared" si="348"/>
        <v>0.5</v>
      </c>
      <c r="X346" s="197">
        <f t="shared" si="349"/>
        <v>0</v>
      </c>
      <c r="Y346" s="197">
        <f t="shared" si="350"/>
        <v>0.02</v>
      </c>
      <c r="Z346" s="201">
        <f t="shared" si="351"/>
        <v>1.45</v>
      </c>
      <c r="AA346" s="202">
        <f t="shared" si="352"/>
        <v>3.4299999999999997</v>
      </c>
      <c r="AB346" s="203">
        <f t="shared" si="353"/>
        <v>1.03</v>
      </c>
      <c r="AC346" s="204">
        <f t="shared" si="354"/>
        <v>4.46</v>
      </c>
      <c r="AD346" s="205">
        <f t="shared" si="355"/>
        <v>0.23</v>
      </c>
      <c r="AE346" s="206">
        <f t="shared" si="356"/>
        <v>4.69</v>
      </c>
      <c r="AG346" s="237" t="s">
        <v>645</v>
      </c>
      <c r="AH346" s="439" t="s">
        <v>626</v>
      </c>
      <c r="AI346" s="439"/>
      <c r="AL346" s="207">
        <f t="shared" si="332"/>
        <v>4.69</v>
      </c>
      <c r="AM346" s="207"/>
      <c r="AN346" s="207">
        <f t="shared" si="333"/>
        <v>4.69</v>
      </c>
      <c r="AQ346" s="237" t="s">
        <v>645</v>
      </c>
      <c r="AR346" s="439" t="s">
        <v>626</v>
      </c>
      <c r="AS346" s="439"/>
      <c r="AT346" s="271">
        <v>9</v>
      </c>
      <c r="AU346" s="214">
        <f t="shared" si="323"/>
        <v>0.0606</v>
      </c>
      <c r="AV346" s="269">
        <f t="shared" si="324"/>
        <v>0.55</v>
      </c>
      <c r="AW346" s="269">
        <f t="shared" si="325"/>
        <v>0</v>
      </c>
      <c r="AX346" s="198">
        <f t="shared" si="326"/>
        <v>0.55</v>
      </c>
      <c r="AY346" s="29">
        <v>16</v>
      </c>
      <c r="AZ346" s="214">
        <f t="shared" si="327"/>
        <v>0.0482</v>
      </c>
      <c r="BA346" s="269">
        <f t="shared" si="328"/>
        <v>0.77</v>
      </c>
      <c r="BB346" s="269">
        <f t="shared" si="329"/>
        <v>0</v>
      </c>
      <c r="BC346" s="198">
        <f t="shared" si="330"/>
        <v>0.77</v>
      </c>
      <c r="BD346" s="199">
        <f t="shared" si="331"/>
        <v>1.32</v>
      </c>
      <c r="BE346" s="237" t="s">
        <v>645</v>
      </c>
      <c r="BF346" s="439" t="s">
        <v>626</v>
      </c>
      <c r="BG346" s="439"/>
      <c r="BI346" s="200">
        <f>BD346</f>
        <v>1.32</v>
      </c>
      <c r="BJ346" s="200">
        <f>ROUND(BI346*$S$19,2)</f>
        <v>0.14</v>
      </c>
      <c r="BK346" s="197">
        <f>ROUND(SUM(BI346:BJ346)*$AA$19,2)</f>
        <v>0.5</v>
      </c>
      <c r="BL346" s="197">
        <f>ROUND(SUM(BI346:BJ346)*$AA$21,2)</f>
        <v>0</v>
      </c>
      <c r="BM346" s="197">
        <f>ROUND(SUM(BI346:BJ346)*$AA$20,2)</f>
        <v>0.02</v>
      </c>
      <c r="BN346" s="201">
        <f>ROUND(BI346*$S$20,2)</f>
        <v>1.45</v>
      </c>
      <c r="BO346" s="202">
        <f>SUM(BI346:BN346)</f>
        <v>3.4299999999999997</v>
      </c>
      <c r="BP346" s="203">
        <f>ROUND(BO346*$S$21,2)</f>
        <v>1.03</v>
      </c>
      <c r="BQ346" s="204">
        <f>SUM(BO346:BP346)</f>
        <v>4.46</v>
      </c>
      <c r="BR346" s="205">
        <f>ROUND(BQ346*$AD$19/95,2)</f>
        <v>0.23</v>
      </c>
      <c r="BS346" s="206">
        <f>SUM(BQ346:BR346)</f>
        <v>4.69</v>
      </c>
    </row>
    <row r="347" spans="2:59" ht="18" customHeight="1">
      <c r="B347" s="233" t="s">
        <v>646</v>
      </c>
      <c r="C347" s="234" t="s">
        <v>634</v>
      </c>
      <c r="D347" s="251"/>
      <c r="E347" s="255"/>
      <c r="F347" s="256"/>
      <c r="G347" s="253"/>
      <c r="H347" s="253"/>
      <c r="I347" s="254"/>
      <c r="J347" s="255"/>
      <c r="K347" s="255"/>
      <c r="L347" s="253"/>
      <c r="M347" s="253"/>
      <c r="N347" s="254"/>
      <c r="O347" s="220"/>
      <c r="P347" s="233" t="s">
        <v>646</v>
      </c>
      <c r="Q347" s="442" t="s">
        <v>634</v>
      </c>
      <c r="R347" s="442"/>
      <c r="U347" s="253"/>
      <c r="V347" s="253"/>
      <c r="W347" s="253"/>
      <c r="X347" s="253"/>
      <c r="Y347" s="253"/>
      <c r="Z347" s="253"/>
      <c r="AA347" s="253"/>
      <c r="AB347" s="253"/>
      <c r="AC347" s="253"/>
      <c r="AD347" s="253"/>
      <c r="AE347" s="220"/>
      <c r="AG347" s="233" t="s">
        <v>646</v>
      </c>
      <c r="AH347" s="442" t="s">
        <v>634</v>
      </c>
      <c r="AI347" s="442"/>
      <c r="AL347" s="207"/>
      <c r="AM347" s="207"/>
      <c r="AN347" s="207"/>
      <c r="AQ347" s="233" t="s">
        <v>646</v>
      </c>
      <c r="AR347" s="442" t="s">
        <v>634</v>
      </c>
      <c r="AS347" s="442"/>
      <c r="AT347" s="271"/>
      <c r="AU347" s="256"/>
      <c r="AV347" s="254"/>
      <c r="AW347" s="254"/>
      <c r="AX347" s="254"/>
      <c r="AY347" s="252"/>
      <c r="AZ347" s="256"/>
      <c r="BA347" s="254"/>
      <c r="BB347" s="254"/>
      <c r="BC347" s="254"/>
      <c r="BD347" s="220"/>
      <c r="BE347" s="233" t="s">
        <v>646</v>
      </c>
      <c r="BF347" s="442" t="s">
        <v>634</v>
      </c>
      <c r="BG347" s="442"/>
    </row>
    <row r="348" spans="2:71" ht="18.75" customHeight="1">
      <c r="B348" s="237" t="s">
        <v>647</v>
      </c>
      <c r="C348" s="238" t="s">
        <v>636</v>
      </c>
      <c r="D348" s="78" t="s">
        <v>53</v>
      </c>
      <c r="E348" s="190">
        <v>14</v>
      </c>
      <c r="F348" s="214">
        <f>$G$16</f>
        <v>0.0606</v>
      </c>
      <c r="G348" s="197">
        <f>ROUND(E348*F348,2)</f>
        <v>0.85</v>
      </c>
      <c r="H348" s="197">
        <f>ROUND(G348*($A$16+$A$17)/100,2)</f>
        <v>0</v>
      </c>
      <c r="I348" s="198">
        <f>SUM(G348:H348)</f>
        <v>0.85</v>
      </c>
      <c r="J348" s="257">
        <v>21</v>
      </c>
      <c r="K348" s="214">
        <f>$G$19</f>
        <v>0.0482</v>
      </c>
      <c r="L348" s="197">
        <f>ROUND(J348*K348,2)</f>
        <v>1.01</v>
      </c>
      <c r="M348" s="197">
        <f>ROUND(L348*($A$16+$A$17)/100,2)</f>
        <v>0</v>
      </c>
      <c r="N348" s="198">
        <f>SUM(L348:M348)</f>
        <v>1.01</v>
      </c>
      <c r="O348" s="199">
        <f>SUM(I348,N348)</f>
        <v>1.8599999999999999</v>
      </c>
      <c r="P348" s="237" t="s">
        <v>647</v>
      </c>
      <c r="Q348" s="439" t="s">
        <v>636</v>
      </c>
      <c r="R348" s="439"/>
      <c r="T348" t="s">
        <v>54</v>
      </c>
      <c r="U348" s="200">
        <f t="shared" si="346"/>
        <v>1.8599999999999999</v>
      </c>
      <c r="V348" s="200">
        <f t="shared" si="347"/>
        <v>0.19</v>
      </c>
      <c r="W348" s="197">
        <f t="shared" si="348"/>
        <v>0.7</v>
      </c>
      <c r="X348" s="197">
        <f t="shared" si="349"/>
        <v>0</v>
      </c>
      <c r="Y348" s="197">
        <f t="shared" si="350"/>
        <v>0.03</v>
      </c>
      <c r="Z348" s="201">
        <f t="shared" si="351"/>
        <v>2.04</v>
      </c>
      <c r="AA348" s="202">
        <f t="shared" si="352"/>
        <v>4.82</v>
      </c>
      <c r="AB348" s="203">
        <f t="shared" si="353"/>
        <v>1.45</v>
      </c>
      <c r="AC348" s="204">
        <f t="shared" si="354"/>
        <v>6.2700000000000005</v>
      </c>
      <c r="AD348" s="205">
        <f t="shared" si="355"/>
        <v>0.33</v>
      </c>
      <c r="AE348" s="206">
        <f t="shared" si="356"/>
        <v>6.6000000000000005</v>
      </c>
      <c r="AG348" s="237" t="s">
        <v>647</v>
      </c>
      <c r="AH348" s="439" t="s">
        <v>636</v>
      </c>
      <c r="AI348" s="439"/>
      <c r="AL348" s="207">
        <f t="shared" si="332"/>
        <v>6.6000000000000005</v>
      </c>
      <c r="AM348" s="207"/>
      <c r="AN348" s="207">
        <f t="shared" si="333"/>
        <v>6.6000000000000005</v>
      </c>
      <c r="AQ348" s="237" t="s">
        <v>647</v>
      </c>
      <c r="AR348" s="439" t="s">
        <v>636</v>
      </c>
      <c r="AS348" s="439"/>
      <c r="AT348" s="271">
        <v>14</v>
      </c>
      <c r="AU348" s="214">
        <f t="shared" si="323"/>
        <v>0.0606</v>
      </c>
      <c r="AV348" s="269">
        <f t="shared" si="324"/>
        <v>0.85</v>
      </c>
      <c r="AW348" s="269">
        <f t="shared" si="325"/>
        <v>0</v>
      </c>
      <c r="AX348" s="198">
        <f t="shared" si="326"/>
        <v>0.85</v>
      </c>
      <c r="AY348" s="29">
        <v>21</v>
      </c>
      <c r="AZ348" s="214">
        <f t="shared" si="327"/>
        <v>0.0482</v>
      </c>
      <c r="BA348" s="269">
        <f t="shared" si="328"/>
        <v>1.01</v>
      </c>
      <c r="BB348" s="269">
        <f t="shared" si="329"/>
        <v>0</v>
      </c>
      <c r="BC348" s="198">
        <f t="shared" si="330"/>
        <v>1.01</v>
      </c>
      <c r="BD348" s="199">
        <f t="shared" si="331"/>
        <v>1.8599999999999999</v>
      </c>
      <c r="BE348" s="237" t="s">
        <v>647</v>
      </c>
      <c r="BF348" s="439" t="s">
        <v>636</v>
      </c>
      <c r="BG348" s="439"/>
      <c r="BI348" s="200">
        <f>BD348</f>
        <v>1.8599999999999999</v>
      </c>
      <c r="BJ348" s="200">
        <f>ROUND(BI348*$S$19,2)</f>
        <v>0.19</v>
      </c>
      <c r="BK348" s="197">
        <f>ROUND(SUM(BI348:BJ348)*$AA$19,2)</f>
        <v>0.7</v>
      </c>
      <c r="BL348" s="197">
        <f>ROUND(SUM(BI348:BJ348)*$AA$21,2)</f>
        <v>0</v>
      </c>
      <c r="BM348" s="197">
        <f>ROUND(SUM(BI348:BJ348)*$AA$20,2)</f>
        <v>0.03</v>
      </c>
      <c r="BN348" s="201">
        <f>ROUND(BI348*$S$20,2)</f>
        <v>2.04</v>
      </c>
      <c r="BO348" s="202">
        <f>SUM(BI348:BN348)</f>
        <v>4.82</v>
      </c>
      <c r="BP348" s="203">
        <f>ROUND(BO348*$S$21,2)</f>
        <v>1.45</v>
      </c>
      <c r="BQ348" s="204">
        <f>SUM(BO348:BP348)</f>
        <v>6.2700000000000005</v>
      </c>
      <c r="BR348" s="205">
        <f>ROUND(BQ348*$AD$19/95,2)</f>
        <v>0.33</v>
      </c>
      <c r="BS348" s="206">
        <f>SUM(BQ348:BR348)</f>
        <v>6.6000000000000005</v>
      </c>
    </row>
    <row r="349" spans="2:59" ht="29.25" customHeight="1">
      <c r="B349" s="233" t="s">
        <v>648</v>
      </c>
      <c r="C349" s="234" t="s">
        <v>649</v>
      </c>
      <c r="D349" s="251"/>
      <c r="E349" s="255"/>
      <c r="F349" s="256"/>
      <c r="G349" s="253"/>
      <c r="H349" s="253"/>
      <c r="I349" s="254"/>
      <c r="J349" s="255"/>
      <c r="K349" s="255"/>
      <c r="L349" s="253"/>
      <c r="M349" s="253"/>
      <c r="N349" s="254"/>
      <c r="O349" s="220"/>
      <c r="P349" s="233" t="s">
        <v>648</v>
      </c>
      <c r="Q349" s="442" t="s">
        <v>649</v>
      </c>
      <c r="R349" s="442"/>
      <c r="U349" s="253"/>
      <c r="V349" s="253"/>
      <c r="W349" s="253"/>
      <c r="X349" s="253"/>
      <c r="Y349" s="253"/>
      <c r="Z349" s="253"/>
      <c r="AA349" s="253"/>
      <c r="AB349" s="253"/>
      <c r="AC349" s="253"/>
      <c r="AD349" s="253"/>
      <c r="AE349" s="220"/>
      <c r="AG349" s="233" t="s">
        <v>648</v>
      </c>
      <c r="AH349" s="442" t="s">
        <v>649</v>
      </c>
      <c r="AI349" s="442"/>
      <c r="AL349" s="207"/>
      <c r="AM349" s="207"/>
      <c r="AN349" s="207"/>
      <c r="AQ349" s="233" t="s">
        <v>648</v>
      </c>
      <c r="AR349" s="442" t="s">
        <v>649</v>
      </c>
      <c r="AS349" s="442"/>
      <c r="AT349" s="271"/>
      <c r="AU349" s="256"/>
      <c r="AV349" s="254"/>
      <c r="AW349" s="254"/>
      <c r="AX349" s="254"/>
      <c r="AY349" s="252"/>
      <c r="AZ349" s="256"/>
      <c r="BA349" s="254"/>
      <c r="BB349" s="254"/>
      <c r="BC349" s="254"/>
      <c r="BD349" s="220"/>
      <c r="BE349" s="233" t="s">
        <v>648</v>
      </c>
      <c r="BF349" s="442" t="s">
        <v>649</v>
      </c>
      <c r="BG349" s="442"/>
    </row>
    <row r="350" spans="2:71" ht="51" customHeight="1">
      <c r="B350" s="237" t="s">
        <v>650</v>
      </c>
      <c r="C350" s="238" t="s">
        <v>651</v>
      </c>
      <c r="D350" s="78" t="s">
        <v>53</v>
      </c>
      <c r="E350" s="190">
        <v>4</v>
      </c>
      <c r="F350" s="214">
        <f>$G$16</f>
        <v>0.0606</v>
      </c>
      <c r="G350" s="197">
        <f>ROUND(E350*F350,2)</f>
        <v>0.24</v>
      </c>
      <c r="H350" s="197">
        <f>ROUND(G350*($A$16+$A$17)/100,2)</f>
        <v>0</v>
      </c>
      <c r="I350" s="198">
        <f>SUM(G350:H350)</f>
        <v>0.24</v>
      </c>
      <c r="J350" s="257">
        <v>8</v>
      </c>
      <c r="K350" s="214">
        <f>$G$19</f>
        <v>0.0482</v>
      </c>
      <c r="L350" s="197">
        <f>ROUND(J350*K350,2)</f>
        <v>0.39</v>
      </c>
      <c r="M350" s="197">
        <f>ROUND(L350*($A$16+$A$17)/100,2)</f>
        <v>0</v>
      </c>
      <c r="N350" s="198">
        <f>SUM(L350:M350)</f>
        <v>0.39</v>
      </c>
      <c r="O350" s="199">
        <f>SUM(I350,N350)</f>
        <v>0.63</v>
      </c>
      <c r="P350" s="237" t="s">
        <v>650</v>
      </c>
      <c r="Q350" s="439" t="s">
        <v>651</v>
      </c>
      <c r="R350" s="439"/>
      <c r="T350" t="s">
        <v>54</v>
      </c>
      <c r="U350" s="200">
        <f t="shared" si="346"/>
        <v>0.63</v>
      </c>
      <c r="V350" s="200">
        <f t="shared" si="347"/>
        <v>0.07</v>
      </c>
      <c r="W350" s="197">
        <f t="shared" si="348"/>
        <v>0.24</v>
      </c>
      <c r="X350" s="197">
        <f t="shared" si="349"/>
        <v>0</v>
      </c>
      <c r="Y350" s="197">
        <f t="shared" si="350"/>
        <v>0.01</v>
      </c>
      <c r="Z350" s="201">
        <f t="shared" si="351"/>
        <v>0.69</v>
      </c>
      <c r="AA350" s="202">
        <f t="shared" si="352"/>
        <v>1.64</v>
      </c>
      <c r="AB350" s="203">
        <f t="shared" si="353"/>
        <v>0.49</v>
      </c>
      <c r="AC350" s="204">
        <f t="shared" si="354"/>
        <v>2.13</v>
      </c>
      <c r="AD350" s="205">
        <f t="shared" si="355"/>
        <v>0.11</v>
      </c>
      <c r="AE350" s="206">
        <f t="shared" si="356"/>
        <v>2.2399999999999998</v>
      </c>
      <c r="AG350" s="237" t="s">
        <v>650</v>
      </c>
      <c r="AH350" s="439" t="s">
        <v>651</v>
      </c>
      <c r="AI350" s="439"/>
      <c r="AL350" s="207">
        <f t="shared" si="332"/>
        <v>2.2399999999999998</v>
      </c>
      <c r="AM350" s="207"/>
      <c r="AN350" s="207">
        <f t="shared" si="333"/>
        <v>2.2399999999999998</v>
      </c>
      <c r="AQ350" s="237" t="s">
        <v>650</v>
      </c>
      <c r="AR350" s="439" t="s">
        <v>651</v>
      </c>
      <c r="AS350" s="439"/>
      <c r="AT350" s="271">
        <v>4</v>
      </c>
      <c r="AU350" s="214">
        <f t="shared" si="323"/>
        <v>0.0606</v>
      </c>
      <c r="AV350" s="269">
        <f t="shared" si="324"/>
        <v>0.24</v>
      </c>
      <c r="AW350" s="269">
        <f t="shared" si="325"/>
        <v>0</v>
      </c>
      <c r="AX350" s="198">
        <f t="shared" si="326"/>
        <v>0.24</v>
      </c>
      <c r="AY350" s="29">
        <v>8</v>
      </c>
      <c r="AZ350" s="214">
        <f t="shared" si="327"/>
        <v>0.0482</v>
      </c>
      <c r="BA350" s="269">
        <f t="shared" si="328"/>
        <v>0.39</v>
      </c>
      <c r="BB350" s="269">
        <f t="shared" si="329"/>
        <v>0</v>
      </c>
      <c r="BC350" s="198">
        <f t="shared" si="330"/>
        <v>0.39</v>
      </c>
      <c r="BD350" s="199">
        <f t="shared" si="331"/>
        <v>0.63</v>
      </c>
      <c r="BE350" s="237" t="s">
        <v>650</v>
      </c>
      <c r="BF350" s="439" t="s">
        <v>651</v>
      </c>
      <c r="BG350" s="439"/>
      <c r="BI350" s="200">
        <f>BD350</f>
        <v>0.63</v>
      </c>
      <c r="BJ350" s="200">
        <f>ROUND(BI350*$S$19,2)</f>
        <v>0.07</v>
      </c>
      <c r="BK350" s="197">
        <f>ROUND(SUM(BI350:BJ350)*$AA$19,2)</f>
        <v>0.24</v>
      </c>
      <c r="BL350" s="197">
        <f>ROUND(SUM(BI350:BJ350)*$AA$21,2)</f>
        <v>0</v>
      </c>
      <c r="BM350" s="197">
        <f>ROUND(SUM(BI350:BJ350)*$AA$20,2)</f>
        <v>0.01</v>
      </c>
      <c r="BN350" s="201">
        <f>ROUND(BI350*$S$20,2)</f>
        <v>0.69</v>
      </c>
      <c r="BO350" s="202">
        <f>SUM(BI350:BN350)</f>
        <v>1.64</v>
      </c>
      <c r="BP350" s="203">
        <f>ROUND(BO350*$S$21,2)</f>
        <v>0.49</v>
      </c>
      <c r="BQ350" s="204">
        <f>SUM(BO350:BP350)</f>
        <v>2.13</v>
      </c>
      <c r="BR350" s="205">
        <f>ROUND(BQ350*$AD$19/95,2)</f>
        <v>0.11</v>
      </c>
      <c r="BS350" s="206">
        <f>SUM(BQ350:BR350)</f>
        <v>2.2399999999999998</v>
      </c>
    </row>
    <row r="351" spans="2:71" ht="38.25" customHeight="1">
      <c r="B351" s="237" t="s">
        <v>652</v>
      </c>
      <c r="C351" s="238" t="s">
        <v>559</v>
      </c>
      <c r="D351" s="78" t="s">
        <v>53</v>
      </c>
      <c r="E351" s="190">
        <v>6</v>
      </c>
      <c r="F351" s="214">
        <f>$G$16</f>
        <v>0.0606</v>
      </c>
      <c r="G351" s="197">
        <f>ROUND(E351*F351,2)</f>
        <v>0.36</v>
      </c>
      <c r="H351" s="197">
        <f>ROUND(G351*($A$16+$A$17)/100,2)</f>
        <v>0</v>
      </c>
      <c r="I351" s="198">
        <f>SUM(G351:H351)</f>
        <v>0.36</v>
      </c>
      <c r="J351" s="257">
        <v>12</v>
      </c>
      <c r="K351" s="214">
        <f>$G$19</f>
        <v>0.0482</v>
      </c>
      <c r="L351" s="197">
        <f>ROUND(J351*K351,2)</f>
        <v>0.58</v>
      </c>
      <c r="M351" s="197">
        <f>ROUND(L351*($A$16+$A$17)/100,2)</f>
        <v>0</v>
      </c>
      <c r="N351" s="198">
        <f>SUM(L351:M351)</f>
        <v>0.58</v>
      </c>
      <c r="O351" s="199">
        <f>SUM(I351,N351)</f>
        <v>0.94</v>
      </c>
      <c r="P351" s="237" t="s">
        <v>652</v>
      </c>
      <c r="Q351" s="439" t="s">
        <v>559</v>
      </c>
      <c r="R351" s="439"/>
      <c r="T351" t="s">
        <v>54</v>
      </c>
      <c r="U351" s="200">
        <f t="shared" si="346"/>
        <v>0.94</v>
      </c>
      <c r="V351" s="200">
        <f t="shared" si="347"/>
        <v>0.1</v>
      </c>
      <c r="W351" s="197">
        <f t="shared" si="348"/>
        <v>0.35</v>
      </c>
      <c r="X351" s="197">
        <f t="shared" si="349"/>
        <v>0</v>
      </c>
      <c r="Y351" s="197">
        <f t="shared" si="350"/>
        <v>0.02</v>
      </c>
      <c r="Z351" s="201">
        <f t="shared" si="351"/>
        <v>1.03</v>
      </c>
      <c r="AA351" s="202">
        <f t="shared" si="352"/>
        <v>2.4400000000000004</v>
      </c>
      <c r="AB351" s="203">
        <f t="shared" si="353"/>
        <v>0.73</v>
      </c>
      <c r="AC351" s="204">
        <f t="shared" si="354"/>
        <v>3.1700000000000004</v>
      </c>
      <c r="AD351" s="205">
        <f t="shared" si="355"/>
        <v>0.17</v>
      </c>
      <c r="AE351" s="206">
        <f t="shared" si="356"/>
        <v>3.3400000000000003</v>
      </c>
      <c r="AG351" s="237" t="s">
        <v>652</v>
      </c>
      <c r="AH351" s="439" t="s">
        <v>559</v>
      </c>
      <c r="AI351" s="439"/>
      <c r="AL351" s="207">
        <f t="shared" si="332"/>
        <v>3.3400000000000003</v>
      </c>
      <c r="AM351" s="207"/>
      <c r="AN351" s="207">
        <f t="shared" si="333"/>
        <v>3.3400000000000003</v>
      </c>
      <c r="AQ351" s="237" t="s">
        <v>652</v>
      </c>
      <c r="AR351" s="439" t="s">
        <v>559</v>
      </c>
      <c r="AS351" s="439"/>
      <c r="AT351" s="271">
        <v>6</v>
      </c>
      <c r="AU351" s="214">
        <f t="shared" si="323"/>
        <v>0.0606</v>
      </c>
      <c r="AV351" s="269">
        <f t="shared" si="324"/>
        <v>0.36</v>
      </c>
      <c r="AW351" s="269">
        <f t="shared" si="325"/>
        <v>0</v>
      </c>
      <c r="AX351" s="198">
        <f t="shared" si="326"/>
        <v>0.36</v>
      </c>
      <c r="AY351" s="29">
        <v>12</v>
      </c>
      <c r="AZ351" s="214">
        <f t="shared" si="327"/>
        <v>0.0482</v>
      </c>
      <c r="BA351" s="269">
        <f t="shared" si="328"/>
        <v>0.58</v>
      </c>
      <c r="BB351" s="269">
        <f t="shared" si="329"/>
        <v>0</v>
      </c>
      <c r="BC351" s="198">
        <f t="shared" si="330"/>
        <v>0.58</v>
      </c>
      <c r="BD351" s="199">
        <f t="shared" si="331"/>
        <v>0.94</v>
      </c>
      <c r="BE351" s="237" t="s">
        <v>652</v>
      </c>
      <c r="BF351" s="439" t="s">
        <v>559</v>
      </c>
      <c r="BG351" s="439"/>
      <c r="BI351" s="200">
        <f>BD351</f>
        <v>0.94</v>
      </c>
      <c r="BJ351" s="200">
        <f>ROUND(BI351*$S$19,2)</f>
        <v>0.1</v>
      </c>
      <c r="BK351" s="197">
        <f>ROUND(SUM(BI351:BJ351)*$AA$19,2)</f>
        <v>0.35</v>
      </c>
      <c r="BL351" s="197">
        <f>ROUND(SUM(BI351:BJ351)*$AA$21,2)</f>
        <v>0</v>
      </c>
      <c r="BM351" s="197">
        <f>ROUND(SUM(BI351:BJ351)*$AA$20,2)</f>
        <v>0.02</v>
      </c>
      <c r="BN351" s="201">
        <f>ROUND(BI351*$S$20,2)</f>
        <v>1.03</v>
      </c>
      <c r="BO351" s="202">
        <f>SUM(BI351:BN351)</f>
        <v>2.4400000000000004</v>
      </c>
      <c r="BP351" s="203">
        <f>ROUND(BO351*$S$21,2)</f>
        <v>0.73</v>
      </c>
      <c r="BQ351" s="204">
        <f>SUM(BO351:BP351)</f>
        <v>3.1700000000000004</v>
      </c>
      <c r="BR351" s="205">
        <f>ROUND(BQ351*$AD$19/95,2)</f>
        <v>0.17</v>
      </c>
      <c r="BS351" s="206">
        <f>SUM(BQ351:BR351)</f>
        <v>3.3400000000000003</v>
      </c>
    </row>
    <row r="352" spans="2:59" ht="14.25" customHeight="1">
      <c r="B352" s="233" t="s">
        <v>653</v>
      </c>
      <c r="C352" s="234" t="s">
        <v>634</v>
      </c>
      <c r="D352" s="251"/>
      <c r="E352" s="255"/>
      <c r="F352" s="256"/>
      <c r="G352" s="253"/>
      <c r="H352" s="253"/>
      <c r="I352" s="254"/>
      <c r="J352" s="257"/>
      <c r="K352" s="255"/>
      <c r="L352" s="253"/>
      <c r="M352" s="253"/>
      <c r="N352" s="254"/>
      <c r="O352" s="220"/>
      <c r="P352" s="233" t="s">
        <v>653</v>
      </c>
      <c r="Q352" s="442" t="s">
        <v>634</v>
      </c>
      <c r="R352" s="442"/>
      <c r="U352" s="253"/>
      <c r="V352" s="253"/>
      <c r="W352" s="253"/>
      <c r="X352" s="253"/>
      <c r="Y352" s="253"/>
      <c r="Z352" s="253"/>
      <c r="AA352" s="253"/>
      <c r="AB352" s="253"/>
      <c r="AC352" s="253"/>
      <c r="AD352" s="253"/>
      <c r="AE352" s="220"/>
      <c r="AG352" s="233" t="s">
        <v>653</v>
      </c>
      <c r="AH352" s="442" t="s">
        <v>634</v>
      </c>
      <c r="AI352" s="442"/>
      <c r="AL352" s="207"/>
      <c r="AM352" s="207"/>
      <c r="AN352" s="207"/>
      <c r="AQ352" s="233" t="s">
        <v>653</v>
      </c>
      <c r="AR352" s="442" t="s">
        <v>634</v>
      </c>
      <c r="AS352" s="442"/>
      <c r="AT352" s="271"/>
      <c r="AU352" s="256"/>
      <c r="AV352" s="254"/>
      <c r="AW352" s="254"/>
      <c r="AX352" s="254"/>
      <c r="AY352" s="252"/>
      <c r="AZ352" s="256"/>
      <c r="BA352" s="254"/>
      <c r="BB352" s="254"/>
      <c r="BC352" s="254"/>
      <c r="BD352" s="220"/>
      <c r="BE352" s="233" t="s">
        <v>653</v>
      </c>
      <c r="BF352" s="442" t="s">
        <v>634</v>
      </c>
      <c r="BG352" s="442"/>
    </row>
    <row r="353" spans="2:71" ht="22.5" customHeight="1">
      <c r="B353" s="237" t="s">
        <v>654</v>
      </c>
      <c r="C353" s="238" t="s">
        <v>636</v>
      </c>
      <c r="D353" s="78" t="s">
        <v>53</v>
      </c>
      <c r="E353" s="190">
        <v>11</v>
      </c>
      <c r="F353" s="214">
        <f>$G$16</f>
        <v>0.0606</v>
      </c>
      <c r="G353" s="197">
        <f>ROUND(E353*F353,2)</f>
        <v>0.67</v>
      </c>
      <c r="H353" s="197">
        <f>ROUND(G353*($A$16+$A$17)/100,2)</f>
        <v>0</v>
      </c>
      <c r="I353" s="198">
        <f>SUM(G353:H353)</f>
        <v>0.67</v>
      </c>
      <c r="J353" s="257">
        <v>21</v>
      </c>
      <c r="K353" s="214">
        <f>$G$19</f>
        <v>0.0482</v>
      </c>
      <c r="L353" s="197">
        <f>ROUND(J353*K353,2)</f>
        <v>1.01</v>
      </c>
      <c r="M353" s="197">
        <f>ROUND(L353*($A$16+$A$17)/100,2)</f>
        <v>0</v>
      </c>
      <c r="N353" s="198">
        <f>SUM(L353:M353)</f>
        <v>1.01</v>
      </c>
      <c r="O353" s="199">
        <f>SUM(I353,N353)</f>
        <v>1.6800000000000002</v>
      </c>
      <c r="P353" s="237" t="s">
        <v>654</v>
      </c>
      <c r="Q353" s="439" t="s">
        <v>636</v>
      </c>
      <c r="R353" s="439"/>
      <c r="T353" t="s">
        <v>54</v>
      </c>
      <c r="U353" s="200">
        <f t="shared" si="346"/>
        <v>1.6800000000000002</v>
      </c>
      <c r="V353" s="200">
        <f t="shared" si="347"/>
        <v>0.17</v>
      </c>
      <c r="W353" s="197">
        <f t="shared" si="348"/>
        <v>0.63</v>
      </c>
      <c r="X353" s="197">
        <f t="shared" si="349"/>
        <v>0</v>
      </c>
      <c r="Y353" s="197">
        <f t="shared" si="350"/>
        <v>0.03</v>
      </c>
      <c r="Z353" s="201">
        <f t="shared" si="351"/>
        <v>1.84</v>
      </c>
      <c r="AA353" s="202">
        <f t="shared" si="352"/>
        <v>4.35</v>
      </c>
      <c r="AB353" s="203">
        <f t="shared" si="353"/>
        <v>1.31</v>
      </c>
      <c r="AC353" s="204">
        <f t="shared" si="354"/>
        <v>5.66</v>
      </c>
      <c r="AD353" s="205">
        <f t="shared" si="355"/>
        <v>0.3</v>
      </c>
      <c r="AE353" s="206">
        <f t="shared" si="356"/>
        <v>5.96</v>
      </c>
      <c r="AG353" s="237" t="s">
        <v>654</v>
      </c>
      <c r="AH353" s="439" t="s">
        <v>636</v>
      </c>
      <c r="AI353" s="439"/>
      <c r="AL353" s="207">
        <f t="shared" si="332"/>
        <v>5.96</v>
      </c>
      <c r="AM353" s="207"/>
      <c r="AN353" s="207">
        <f t="shared" si="333"/>
        <v>5.96</v>
      </c>
      <c r="AQ353" s="237" t="s">
        <v>654</v>
      </c>
      <c r="AR353" s="439" t="s">
        <v>636</v>
      </c>
      <c r="AS353" s="439"/>
      <c r="AT353" s="271">
        <v>11</v>
      </c>
      <c r="AU353" s="214">
        <f aca="true" t="shared" si="403" ref="AU353:AU390">$AV$16</f>
        <v>0.0606</v>
      </c>
      <c r="AV353" s="269">
        <f>ROUND(AT353*AU353,2)</f>
        <v>0.67</v>
      </c>
      <c r="AW353" s="269">
        <f>ROUND(AV353*($A$16+$A$17)/100,2)</f>
        <v>0</v>
      </c>
      <c r="AX353" s="198">
        <f>SUM(AV353:AW353)</f>
        <v>0.67</v>
      </c>
      <c r="AY353" s="29">
        <v>21</v>
      </c>
      <c r="AZ353" s="214">
        <f aca="true" t="shared" si="404" ref="AZ353:AZ390">$AV$19</f>
        <v>0.0482</v>
      </c>
      <c r="BA353" s="269">
        <f>ROUND(AY353*AZ353,2)</f>
        <v>1.01</v>
      </c>
      <c r="BB353" s="269">
        <f>ROUND(BA353*($A$16+$A$17)/100,2)</f>
        <v>0</v>
      </c>
      <c r="BC353" s="198">
        <f>SUM(BA353:BB353)</f>
        <v>1.01</v>
      </c>
      <c r="BD353" s="199">
        <f>SUM(AX353,BC353)</f>
        <v>1.6800000000000002</v>
      </c>
      <c r="BE353" s="237" t="s">
        <v>654</v>
      </c>
      <c r="BF353" s="439" t="s">
        <v>636</v>
      </c>
      <c r="BG353" s="439"/>
      <c r="BI353" s="200">
        <f>BD353</f>
        <v>1.6800000000000002</v>
      </c>
      <c r="BJ353" s="200">
        <f>ROUND(BI353*$S$19,2)</f>
        <v>0.17</v>
      </c>
      <c r="BK353" s="197">
        <f>ROUND(SUM(BI353:BJ353)*$AA$19,2)</f>
        <v>0.63</v>
      </c>
      <c r="BL353" s="197">
        <f>ROUND(SUM(BI353:BJ353)*$AA$21,2)</f>
        <v>0</v>
      </c>
      <c r="BM353" s="197">
        <f>ROUND(SUM(BI353:BJ353)*$AA$20,2)</f>
        <v>0.03</v>
      </c>
      <c r="BN353" s="201">
        <f>ROUND(BI353*$S$20,2)</f>
        <v>1.84</v>
      </c>
      <c r="BO353" s="202">
        <f>SUM(BI353:BN353)</f>
        <v>4.35</v>
      </c>
      <c r="BP353" s="203">
        <f>ROUND(BO353*$S$21,2)</f>
        <v>1.31</v>
      </c>
      <c r="BQ353" s="204">
        <f>SUM(BO353:BP353)</f>
        <v>5.66</v>
      </c>
      <c r="BR353" s="205">
        <f>ROUND(BQ353*$AD$19/95,2)</f>
        <v>0.3</v>
      </c>
      <c r="BS353" s="206">
        <f>SUM(BQ353:BR353)</f>
        <v>5.96</v>
      </c>
    </row>
    <row r="354" spans="2:59" ht="36" customHeight="1">
      <c r="B354" s="239" t="s">
        <v>1064</v>
      </c>
      <c r="C354" s="364" t="s">
        <v>1063</v>
      </c>
      <c r="D354" s="251"/>
      <c r="E354" s="255"/>
      <c r="F354" s="256"/>
      <c r="G354" s="253"/>
      <c r="H354" s="253"/>
      <c r="I354" s="254"/>
      <c r="J354" s="255"/>
      <c r="K354" s="255"/>
      <c r="L354" s="253"/>
      <c r="M354" s="253"/>
      <c r="N354" s="254"/>
      <c r="O354" s="220"/>
      <c r="P354" s="239" t="s">
        <v>1064</v>
      </c>
      <c r="Q354" s="437" t="s">
        <v>1063</v>
      </c>
      <c r="R354" s="437"/>
      <c r="U354" s="253"/>
      <c r="V354" s="253"/>
      <c r="W354" s="253"/>
      <c r="X354" s="253"/>
      <c r="Y354" s="253"/>
      <c r="Z354" s="253"/>
      <c r="AA354" s="253"/>
      <c r="AB354" s="253"/>
      <c r="AC354" s="253"/>
      <c r="AD354" s="253"/>
      <c r="AE354" s="220"/>
      <c r="AG354" s="239" t="s">
        <v>1064</v>
      </c>
      <c r="AH354" s="437" t="s">
        <v>1063</v>
      </c>
      <c r="AI354" s="437"/>
      <c r="AL354" s="207"/>
      <c r="AM354" s="207"/>
      <c r="AN354" s="207"/>
      <c r="AQ354" s="239" t="s">
        <v>1064</v>
      </c>
      <c r="AR354" s="437" t="s">
        <v>1063</v>
      </c>
      <c r="AS354" s="437"/>
      <c r="AT354" s="271"/>
      <c r="AU354" s="256"/>
      <c r="AV354" s="254"/>
      <c r="AW354" s="254"/>
      <c r="AX354" s="254"/>
      <c r="AY354" s="252"/>
      <c r="AZ354" s="256"/>
      <c r="BA354" s="254"/>
      <c r="BB354" s="254"/>
      <c r="BC354" s="254"/>
      <c r="BD354" s="220"/>
      <c r="BE354" s="239" t="s">
        <v>1064</v>
      </c>
      <c r="BF354" s="437" t="s">
        <v>1063</v>
      </c>
      <c r="BG354" s="437"/>
    </row>
    <row r="355" spans="2:71" ht="22.5" customHeight="1">
      <c r="B355" s="237" t="s">
        <v>1062</v>
      </c>
      <c r="C355" s="363" t="s">
        <v>1066</v>
      </c>
      <c r="D355" s="78" t="s">
        <v>53</v>
      </c>
      <c r="E355" s="190">
        <v>5</v>
      </c>
      <c r="F355" s="214">
        <f>$G$16</f>
        <v>0.0606</v>
      </c>
      <c r="G355" s="197">
        <f>ROUND(E355*F355,2)</f>
        <v>0.3</v>
      </c>
      <c r="H355" s="197">
        <f>ROUND(G355*($A$16+$A$17)/100,2)</f>
        <v>0</v>
      </c>
      <c r="I355" s="198">
        <f>SUM(G355:H355)</f>
        <v>0.3</v>
      </c>
      <c r="J355" s="257">
        <v>10</v>
      </c>
      <c r="K355" s="214">
        <f>$G$19</f>
        <v>0.0482</v>
      </c>
      <c r="L355" s="197">
        <f>ROUND(J355*K355,2)</f>
        <v>0.48</v>
      </c>
      <c r="M355" s="197">
        <f>ROUND(L355*($A$16+$A$17)/100,2)</f>
        <v>0</v>
      </c>
      <c r="N355" s="198">
        <f>SUM(L355:M355)</f>
        <v>0.48</v>
      </c>
      <c r="O355" s="199">
        <f>SUM(I355,N355)</f>
        <v>0.78</v>
      </c>
      <c r="P355" s="237" t="s">
        <v>1062</v>
      </c>
      <c r="Q355" s="443" t="s">
        <v>1066</v>
      </c>
      <c r="R355" s="443"/>
      <c r="T355" t="s">
        <v>54</v>
      </c>
      <c r="U355" s="200">
        <f>O355</f>
        <v>0.78</v>
      </c>
      <c r="V355" s="200">
        <f>ROUND(U355*$S$19,2)</f>
        <v>0.08</v>
      </c>
      <c r="W355" s="197">
        <f>ROUND(SUM(U355:V355)*$AA$19,2)</f>
        <v>0.29</v>
      </c>
      <c r="X355" s="197">
        <f>ROUND(SUM(U355:V355)*$AA$21,2)</f>
        <v>0</v>
      </c>
      <c r="Y355" s="197">
        <f>ROUND(SUM(U355:V355)*$AA$20,2)</f>
        <v>0.01</v>
      </c>
      <c r="Z355" s="201">
        <f>ROUND(U355*$S$20,2)</f>
        <v>0.86</v>
      </c>
      <c r="AA355" s="202">
        <f>SUM(U355:Z355)</f>
        <v>2.02</v>
      </c>
      <c r="AB355" s="203">
        <f>ROUND(AA355*$S$21,2)</f>
        <v>0.61</v>
      </c>
      <c r="AC355" s="204">
        <f>SUM(AA355:AB355)</f>
        <v>2.63</v>
      </c>
      <c r="AD355" s="205">
        <f>ROUND(AC355*$AD$19/95,2)</f>
        <v>0.14</v>
      </c>
      <c r="AE355" s="206">
        <f>SUM(AC355:AD355)</f>
        <v>2.77</v>
      </c>
      <c r="AG355" s="237" t="s">
        <v>1062</v>
      </c>
      <c r="AH355" s="443" t="s">
        <v>1066</v>
      </c>
      <c r="AI355" s="443"/>
      <c r="AL355" s="207">
        <f>AE355</f>
        <v>2.77</v>
      </c>
      <c r="AM355" s="207"/>
      <c r="AN355" s="207">
        <f>BS355</f>
        <v>2.77</v>
      </c>
      <c r="AQ355" s="237" t="s">
        <v>1062</v>
      </c>
      <c r="AR355" s="443" t="s">
        <v>1066</v>
      </c>
      <c r="AS355" s="443"/>
      <c r="AT355" s="271">
        <v>5</v>
      </c>
      <c r="AU355" s="214">
        <f t="shared" si="403"/>
        <v>0.0606</v>
      </c>
      <c r="AV355" s="269">
        <f>ROUND(AT355*AU355,2)</f>
        <v>0.3</v>
      </c>
      <c r="AW355" s="269">
        <f>ROUND(AV355*($A$16+$A$17)/100,2)</f>
        <v>0</v>
      </c>
      <c r="AX355" s="198">
        <f>SUM(AV355:AW355)</f>
        <v>0.3</v>
      </c>
      <c r="AY355" s="29">
        <v>10</v>
      </c>
      <c r="AZ355" s="214">
        <f t="shared" si="404"/>
        <v>0.0482</v>
      </c>
      <c r="BA355" s="269">
        <f>ROUND(AY355*AZ355,2)</f>
        <v>0.48</v>
      </c>
      <c r="BB355" s="269">
        <f>ROUND(BA355*($A$16+$A$17)/100,2)</f>
        <v>0</v>
      </c>
      <c r="BC355" s="198">
        <f>SUM(BA355:BB355)</f>
        <v>0.48</v>
      </c>
      <c r="BD355" s="199">
        <f>SUM(AX355,BC355)</f>
        <v>0.78</v>
      </c>
      <c r="BE355" s="237" t="s">
        <v>1062</v>
      </c>
      <c r="BF355" s="443" t="s">
        <v>1066</v>
      </c>
      <c r="BG355" s="443"/>
      <c r="BI355" s="200">
        <f>BD355</f>
        <v>0.78</v>
      </c>
      <c r="BJ355" s="200">
        <f>ROUND(BI355*$S$19,2)</f>
        <v>0.08</v>
      </c>
      <c r="BK355" s="197">
        <f>ROUND(SUM(BI355:BJ355)*$AA$19,2)</f>
        <v>0.29</v>
      </c>
      <c r="BL355" s="197">
        <f>ROUND(SUM(BI355:BJ355)*$AA$21,2)</f>
        <v>0</v>
      </c>
      <c r="BM355" s="197">
        <f>ROUND(SUM(BI355:BJ355)*$AA$20,2)</f>
        <v>0.01</v>
      </c>
      <c r="BN355" s="201">
        <f>ROUND(BI355*$S$20,2)</f>
        <v>0.86</v>
      </c>
      <c r="BO355" s="202">
        <f>SUM(BI355:BN355)</f>
        <v>2.02</v>
      </c>
      <c r="BP355" s="203">
        <f>ROUND(BO355*$S$21,2)</f>
        <v>0.61</v>
      </c>
      <c r="BQ355" s="204">
        <f>SUM(BO355:BP355)</f>
        <v>2.63</v>
      </c>
      <c r="BR355" s="205">
        <f>ROUND(BQ355*$AD$19/95,2)</f>
        <v>0.14</v>
      </c>
      <c r="BS355" s="206">
        <f>SUM(BQ355:BR355)</f>
        <v>2.77</v>
      </c>
    </row>
    <row r="356" spans="2:71" ht="22.5" customHeight="1">
      <c r="B356" s="237" t="s">
        <v>1065</v>
      </c>
      <c r="C356" s="363" t="s">
        <v>559</v>
      </c>
      <c r="D356" s="78" t="s">
        <v>53</v>
      </c>
      <c r="E356" s="190">
        <v>8</v>
      </c>
      <c r="F356" s="214">
        <f>$G$16</f>
        <v>0.0606</v>
      </c>
      <c r="G356" s="197">
        <f>ROUND(E356*F356,2)</f>
        <v>0.48</v>
      </c>
      <c r="H356" s="197">
        <f>ROUND(G356*($A$16+$A$17)/100,2)</f>
        <v>0</v>
      </c>
      <c r="I356" s="198">
        <f>SUM(G356:H356)</f>
        <v>0.48</v>
      </c>
      <c r="J356" s="257">
        <v>13</v>
      </c>
      <c r="K356" s="214">
        <f>$G$19</f>
        <v>0.0482</v>
      </c>
      <c r="L356" s="197">
        <f>ROUND(J356*K356,2)</f>
        <v>0.63</v>
      </c>
      <c r="M356" s="197">
        <f>ROUND(L356*($A$16+$A$17)/100,2)</f>
        <v>0</v>
      </c>
      <c r="N356" s="198">
        <f>SUM(L356:M356)</f>
        <v>0.63</v>
      </c>
      <c r="O356" s="199">
        <f>SUM(I356,N356)</f>
        <v>1.1099999999999999</v>
      </c>
      <c r="P356" s="237" t="s">
        <v>1065</v>
      </c>
      <c r="Q356" s="443" t="s">
        <v>559</v>
      </c>
      <c r="R356" s="443"/>
      <c r="T356" t="s">
        <v>54</v>
      </c>
      <c r="U356" s="200">
        <f>O356</f>
        <v>1.1099999999999999</v>
      </c>
      <c r="V356" s="200">
        <f>ROUND(U356*$S$19,2)</f>
        <v>0.11</v>
      </c>
      <c r="W356" s="197">
        <f>ROUND(SUM(U356:V356)*$AA$19,2)</f>
        <v>0.41</v>
      </c>
      <c r="X356" s="197">
        <f>ROUND(SUM(U356:V356)*$AA$21,2)</f>
        <v>0</v>
      </c>
      <c r="Y356" s="197">
        <f>ROUND(SUM(U356:V356)*$AA$20,2)</f>
        <v>0.02</v>
      </c>
      <c r="Z356" s="201">
        <f>ROUND(U356*$S$20,2)</f>
        <v>1.22</v>
      </c>
      <c r="AA356" s="202">
        <f>SUM(U356:Z356)</f>
        <v>2.87</v>
      </c>
      <c r="AB356" s="203">
        <f>ROUND(AA356*$S$21,2)</f>
        <v>0.86</v>
      </c>
      <c r="AC356" s="204">
        <f>SUM(AA356:AB356)</f>
        <v>3.73</v>
      </c>
      <c r="AD356" s="205">
        <f>ROUND(AC356*$AD$19/95,2)</f>
        <v>0.2</v>
      </c>
      <c r="AE356" s="206">
        <f>SUM(AC356:AD356)</f>
        <v>3.93</v>
      </c>
      <c r="AG356" s="237" t="s">
        <v>1065</v>
      </c>
      <c r="AH356" s="443" t="s">
        <v>559</v>
      </c>
      <c r="AI356" s="443"/>
      <c r="AL356" s="207">
        <f>AE356</f>
        <v>3.93</v>
      </c>
      <c r="AM356" s="207"/>
      <c r="AN356" s="207">
        <f>BS356</f>
        <v>3.93</v>
      </c>
      <c r="AQ356" s="237" t="s">
        <v>1065</v>
      </c>
      <c r="AR356" s="443" t="s">
        <v>559</v>
      </c>
      <c r="AS356" s="443"/>
      <c r="AT356" s="271">
        <v>8</v>
      </c>
      <c r="AU356" s="214">
        <f t="shared" si="403"/>
        <v>0.0606</v>
      </c>
      <c r="AV356" s="269">
        <f>ROUND(AT356*AU356,2)</f>
        <v>0.48</v>
      </c>
      <c r="AW356" s="269">
        <f>ROUND(AV356*($A$16+$A$17)/100,2)</f>
        <v>0</v>
      </c>
      <c r="AX356" s="198">
        <f>SUM(AV356:AW356)</f>
        <v>0.48</v>
      </c>
      <c r="AY356" s="29">
        <v>13</v>
      </c>
      <c r="AZ356" s="214">
        <f t="shared" si="404"/>
        <v>0.0482</v>
      </c>
      <c r="BA356" s="269">
        <f>ROUND(AY356*AZ356,2)</f>
        <v>0.63</v>
      </c>
      <c r="BB356" s="269">
        <f>ROUND(BA356*($A$16+$A$17)/100,2)</f>
        <v>0</v>
      </c>
      <c r="BC356" s="198">
        <f>SUM(BA356:BB356)</f>
        <v>0.63</v>
      </c>
      <c r="BD356" s="199">
        <f>SUM(AX356,BC356)</f>
        <v>1.1099999999999999</v>
      </c>
      <c r="BE356" s="237" t="s">
        <v>1065</v>
      </c>
      <c r="BF356" s="443" t="s">
        <v>559</v>
      </c>
      <c r="BG356" s="443"/>
      <c r="BI356" s="200">
        <f>BD356</f>
        <v>1.1099999999999999</v>
      </c>
      <c r="BJ356" s="200">
        <f>ROUND(BI356*$S$19,2)</f>
        <v>0.11</v>
      </c>
      <c r="BK356" s="197">
        <f>ROUND(SUM(BI356:BJ356)*$AA$19,2)</f>
        <v>0.41</v>
      </c>
      <c r="BL356" s="197">
        <f>ROUND(SUM(BI356:BJ356)*$AA$21,2)</f>
        <v>0</v>
      </c>
      <c r="BM356" s="197">
        <f>ROUND(SUM(BI356:BJ356)*$AA$20,2)</f>
        <v>0.02</v>
      </c>
      <c r="BN356" s="201">
        <f>ROUND(BI356*$S$20,2)</f>
        <v>1.22</v>
      </c>
      <c r="BO356" s="202">
        <f>SUM(BI356:BN356)</f>
        <v>2.87</v>
      </c>
      <c r="BP356" s="203">
        <f>ROUND(BO356*$S$21,2)</f>
        <v>0.86</v>
      </c>
      <c r="BQ356" s="204">
        <f>SUM(BO356:BP356)</f>
        <v>3.73</v>
      </c>
      <c r="BR356" s="205">
        <f>ROUND(BQ356*$AD$19/95,2)</f>
        <v>0.2</v>
      </c>
      <c r="BS356" s="206">
        <f>SUM(BQ356:BR356)</f>
        <v>3.93</v>
      </c>
    </row>
    <row r="357" spans="2:59" ht="15" customHeight="1">
      <c r="B357" s="239" t="s">
        <v>1067</v>
      </c>
      <c r="C357" s="362" t="s">
        <v>634</v>
      </c>
      <c r="D357" s="251"/>
      <c r="E357" s="255"/>
      <c r="F357" s="256"/>
      <c r="G357" s="253"/>
      <c r="H357" s="253"/>
      <c r="I357" s="254"/>
      <c r="J357" s="255"/>
      <c r="K357" s="255"/>
      <c r="L357" s="253"/>
      <c r="M357" s="253"/>
      <c r="N357" s="254"/>
      <c r="O357" s="220"/>
      <c r="P357" s="239" t="s">
        <v>1067</v>
      </c>
      <c r="Q357" s="362" t="s">
        <v>634</v>
      </c>
      <c r="R357" s="362"/>
      <c r="U357" s="253"/>
      <c r="V357" s="253"/>
      <c r="W357" s="253"/>
      <c r="X357" s="253"/>
      <c r="Y357" s="253"/>
      <c r="Z357" s="253"/>
      <c r="AA357" s="253"/>
      <c r="AB357" s="253"/>
      <c r="AC357" s="253"/>
      <c r="AD357" s="253"/>
      <c r="AE357" s="220"/>
      <c r="AG357" s="239" t="s">
        <v>1067</v>
      </c>
      <c r="AH357" s="362" t="s">
        <v>634</v>
      </c>
      <c r="AI357" s="362"/>
      <c r="AL357" s="207"/>
      <c r="AM357" s="207"/>
      <c r="AN357" s="207"/>
      <c r="AQ357" s="239" t="s">
        <v>1067</v>
      </c>
      <c r="AR357" s="362" t="s">
        <v>634</v>
      </c>
      <c r="AS357" s="362"/>
      <c r="AT357" s="271"/>
      <c r="AU357" s="256"/>
      <c r="AV357" s="254"/>
      <c r="AW357" s="254"/>
      <c r="AX357" s="254"/>
      <c r="AY357" s="252"/>
      <c r="AZ357" s="256"/>
      <c r="BA357" s="254"/>
      <c r="BB357" s="254"/>
      <c r="BC357" s="254"/>
      <c r="BD357" s="220"/>
      <c r="BE357" s="239" t="s">
        <v>1067</v>
      </c>
      <c r="BF357" s="362" t="s">
        <v>634</v>
      </c>
      <c r="BG357" s="362"/>
    </row>
    <row r="358" spans="2:71" ht="12.75" customHeight="1">
      <c r="B358" s="237" t="s">
        <v>1068</v>
      </c>
      <c r="C358" s="282" t="s">
        <v>636</v>
      </c>
      <c r="D358" s="78" t="s">
        <v>53</v>
      </c>
      <c r="E358" s="190">
        <v>15</v>
      </c>
      <c r="F358" s="214">
        <f>$G$16</f>
        <v>0.0606</v>
      </c>
      <c r="G358" s="197">
        <f>ROUND(E358*F358,2)</f>
        <v>0.91</v>
      </c>
      <c r="H358" s="197">
        <f>ROUND(G358*($A$16+$A$17)/100,2)</f>
        <v>0</v>
      </c>
      <c r="I358" s="198">
        <f>SUM(G358:H358)</f>
        <v>0.91</v>
      </c>
      <c r="J358" s="257">
        <v>25</v>
      </c>
      <c r="K358" s="214">
        <f>$G$19</f>
        <v>0.0482</v>
      </c>
      <c r="L358" s="197">
        <f>ROUND(J358*K358,2)</f>
        <v>1.21</v>
      </c>
      <c r="M358" s="197">
        <f>ROUND(L358*($A$16+$A$17)/100,2)</f>
        <v>0</v>
      </c>
      <c r="N358" s="198">
        <f>SUM(L358:M358)</f>
        <v>1.21</v>
      </c>
      <c r="O358" s="199">
        <f>SUM(I358,N358)</f>
        <v>2.12</v>
      </c>
      <c r="P358" s="237" t="s">
        <v>1068</v>
      </c>
      <c r="Q358" s="282" t="s">
        <v>636</v>
      </c>
      <c r="R358" s="282"/>
      <c r="T358" t="s">
        <v>54</v>
      </c>
      <c r="U358" s="200">
        <f>O358</f>
        <v>2.12</v>
      </c>
      <c r="V358" s="200">
        <f>ROUND(U358*$S$19,2)</f>
        <v>0.22</v>
      </c>
      <c r="W358" s="197">
        <f>ROUND(SUM(U358:V358)*$AA$19,2)</f>
        <v>0.8</v>
      </c>
      <c r="X358" s="197">
        <f>ROUND(SUM(U358:V358)*$AA$21,2)</f>
        <v>0</v>
      </c>
      <c r="Y358" s="197">
        <f>ROUND(SUM(U358:V358)*$AA$20,2)</f>
        <v>0.04</v>
      </c>
      <c r="Z358" s="201">
        <f>ROUND(U358*$S$20,2)</f>
        <v>2.33</v>
      </c>
      <c r="AA358" s="202">
        <f>SUM(U358:Z358)</f>
        <v>5.510000000000001</v>
      </c>
      <c r="AB358" s="203">
        <f>ROUND(AA358*$S$21,2)</f>
        <v>1.65</v>
      </c>
      <c r="AC358" s="204">
        <f>SUM(AA358:AB358)</f>
        <v>7.16</v>
      </c>
      <c r="AD358" s="205">
        <f>ROUND(AC358*$AD$19/95,2)</f>
        <v>0.38</v>
      </c>
      <c r="AE358" s="206">
        <f>SUM(AC358:AD358)</f>
        <v>7.54</v>
      </c>
      <c r="AG358" s="237" t="s">
        <v>1068</v>
      </c>
      <c r="AH358" s="282" t="s">
        <v>636</v>
      </c>
      <c r="AI358" s="282"/>
      <c r="AL358" s="207">
        <f>AE358</f>
        <v>7.54</v>
      </c>
      <c r="AM358" s="207"/>
      <c r="AN358" s="207">
        <f>BS358</f>
        <v>7.54</v>
      </c>
      <c r="AQ358" s="237" t="s">
        <v>1068</v>
      </c>
      <c r="AR358" s="282" t="s">
        <v>636</v>
      </c>
      <c r="AS358" s="282"/>
      <c r="AT358" s="271">
        <v>15</v>
      </c>
      <c r="AU358" s="214">
        <f t="shared" si="403"/>
        <v>0.0606</v>
      </c>
      <c r="AV358" s="269">
        <f>ROUND(AT358*AU358,2)</f>
        <v>0.91</v>
      </c>
      <c r="AW358" s="269">
        <f>ROUND(AV358*($A$16+$A$17)/100,2)</f>
        <v>0</v>
      </c>
      <c r="AX358" s="198">
        <f>SUM(AV358:AW358)</f>
        <v>0.91</v>
      </c>
      <c r="AY358" s="29">
        <v>25</v>
      </c>
      <c r="AZ358" s="214">
        <f t="shared" si="404"/>
        <v>0.0482</v>
      </c>
      <c r="BA358" s="269">
        <f>ROUND(AY358*AZ358,2)</f>
        <v>1.21</v>
      </c>
      <c r="BB358" s="269">
        <f>ROUND(BA358*($A$16+$A$17)/100,2)</f>
        <v>0</v>
      </c>
      <c r="BC358" s="198">
        <f>SUM(BA358:BB358)</f>
        <v>1.21</v>
      </c>
      <c r="BD358" s="199">
        <f>SUM(AX358,BC358)</f>
        <v>2.12</v>
      </c>
      <c r="BE358" s="237" t="s">
        <v>1068</v>
      </c>
      <c r="BF358" s="282" t="s">
        <v>636</v>
      </c>
      <c r="BG358" s="282"/>
      <c r="BI358" s="200">
        <f>BD358</f>
        <v>2.12</v>
      </c>
      <c r="BJ358" s="200">
        <f>ROUND(BI358*$S$19,2)</f>
        <v>0.22</v>
      </c>
      <c r="BK358" s="197">
        <f>ROUND(SUM(BI358:BJ358)*$AA$19,2)</f>
        <v>0.8</v>
      </c>
      <c r="BL358" s="197">
        <f>ROUND(SUM(BI358:BJ358)*$AA$21,2)</f>
        <v>0</v>
      </c>
      <c r="BM358" s="197">
        <f>ROUND(SUM(BI358:BJ358)*$AA$20,2)</f>
        <v>0.04</v>
      </c>
      <c r="BN358" s="201">
        <f>ROUND(BI358*$S$20,2)</f>
        <v>2.33</v>
      </c>
      <c r="BO358" s="202">
        <f>SUM(BI358:BN358)</f>
        <v>5.510000000000001</v>
      </c>
      <c r="BP358" s="203">
        <f>ROUND(BO358*$S$21,2)</f>
        <v>1.65</v>
      </c>
      <c r="BQ358" s="204">
        <f>SUM(BO358:BP358)</f>
        <v>7.16</v>
      </c>
      <c r="BR358" s="205">
        <f>ROUND(BQ358*$AD$19/95,2)</f>
        <v>0.38</v>
      </c>
      <c r="BS358" s="206">
        <f>SUM(BQ358:BR358)</f>
        <v>7.54</v>
      </c>
    </row>
    <row r="359" spans="2:59" ht="24" customHeight="1">
      <c r="B359" s="239" t="s">
        <v>1069</v>
      </c>
      <c r="C359" s="359" t="s">
        <v>1070</v>
      </c>
      <c r="D359" s="251"/>
      <c r="E359" s="255"/>
      <c r="F359" s="256"/>
      <c r="G359" s="253"/>
      <c r="H359" s="253"/>
      <c r="I359" s="254"/>
      <c r="J359" s="255"/>
      <c r="K359" s="255"/>
      <c r="L359" s="253"/>
      <c r="M359" s="253"/>
      <c r="N359" s="254"/>
      <c r="O359" s="220"/>
      <c r="P359" s="239" t="s">
        <v>1069</v>
      </c>
      <c r="Q359" s="359" t="s">
        <v>1070</v>
      </c>
      <c r="R359" s="359"/>
      <c r="U359" s="253"/>
      <c r="V359" s="253"/>
      <c r="W359" s="253"/>
      <c r="X359" s="253"/>
      <c r="Y359" s="253"/>
      <c r="Z359" s="253"/>
      <c r="AA359" s="253"/>
      <c r="AB359" s="253"/>
      <c r="AC359" s="253"/>
      <c r="AD359" s="253"/>
      <c r="AE359" s="220"/>
      <c r="AG359" s="239" t="s">
        <v>1069</v>
      </c>
      <c r="AH359" s="359" t="s">
        <v>1070</v>
      </c>
      <c r="AI359" s="359"/>
      <c r="AL359" s="207"/>
      <c r="AM359" s="207"/>
      <c r="AN359" s="207"/>
      <c r="AQ359" s="239" t="s">
        <v>1069</v>
      </c>
      <c r="AR359" s="359" t="s">
        <v>1070</v>
      </c>
      <c r="AS359" s="359"/>
      <c r="AT359" s="271"/>
      <c r="AU359" s="256"/>
      <c r="AV359" s="254"/>
      <c r="AW359" s="254"/>
      <c r="AX359" s="254"/>
      <c r="AY359" s="252"/>
      <c r="AZ359" s="256"/>
      <c r="BA359" s="254"/>
      <c r="BB359" s="254"/>
      <c r="BC359" s="254"/>
      <c r="BD359" s="220"/>
      <c r="BE359" s="239" t="s">
        <v>1069</v>
      </c>
      <c r="BF359" s="359" t="s">
        <v>1070</v>
      </c>
      <c r="BG359" s="359"/>
    </row>
    <row r="360" spans="2:71" ht="22.5" customHeight="1">
      <c r="B360" s="237" t="s">
        <v>1071</v>
      </c>
      <c r="C360" s="363" t="s">
        <v>1066</v>
      </c>
      <c r="D360" s="78" t="s">
        <v>53</v>
      </c>
      <c r="E360" s="190">
        <v>4</v>
      </c>
      <c r="F360" s="214">
        <f>$G$16</f>
        <v>0.0606</v>
      </c>
      <c r="G360" s="197">
        <f>ROUND(E360*F360,2)</f>
        <v>0.24</v>
      </c>
      <c r="H360" s="197">
        <f>ROUND(G360*($A$16+$A$17)/100,2)</f>
        <v>0</v>
      </c>
      <c r="I360" s="198">
        <f>SUM(G360:H360)</f>
        <v>0.24</v>
      </c>
      <c r="J360" s="257">
        <v>8</v>
      </c>
      <c r="K360" s="214">
        <f>$G$19</f>
        <v>0.0482</v>
      </c>
      <c r="L360" s="197">
        <f>ROUND(J360*K360,2)</f>
        <v>0.39</v>
      </c>
      <c r="M360" s="197">
        <f>ROUND(L360*($A$16+$A$17)/100,2)</f>
        <v>0</v>
      </c>
      <c r="N360" s="198">
        <f>SUM(L360:M360)</f>
        <v>0.39</v>
      </c>
      <c r="O360" s="199">
        <f>SUM(I360,N360)</f>
        <v>0.63</v>
      </c>
      <c r="P360" s="237" t="s">
        <v>1071</v>
      </c>
      <c r="Q360" s="363" t="s">
        <v>1066</v>
      </c>
      <c r="R360" s="363"/>
      <c r="T360" t="s">
        <v>54</v>
      </c>
      <c r="U360" s="200">
        <f>O360</f>
        <v>0.63</v>
      </c>
      <c r="V360" s="200">
        <f>ROUND(U360*$S$19,2)</f>
        <v>0.07</v>
      </c>
      <c r="W360" s="197">
        <f>ROUND(SUM(U360:V360)*$AA$19,2)</f>
        <v>0.24</v>
      </c>
      <c r="X360" s="197">
        <f>ROUND(SUM(U360:V360)*$AA$21,2)</f>
        <v>0</v>
      </c>
      <c r="Y360" s="197">
        <f>ROUND(SUM(U360:V360)*$AA$20,2)</f>
        <v>0.01</v>
      </c>
      <c r="Z360" s="201">
        <f>ROUND(U360*$S$20,2)</f>
        <v>0.69</v>
      </c>
      <c r="AA360" s="202">
        <f>SUM(U360:Z360)</f>
        <v>1.64</v>
      </c>
      <c r="AB360" s="203">
        <f>ROUND(AA360*$S$21,2)</f>
        <v>0.49</v>
      </c>
      <c r="AC360" s="204">
        <f>SUM(AA360:AB360)</f>
        <v>2.13</v>
      </c>
      <c r="AD360" s="205">
        <f>ROUND(AC360*$AD$19/95,2)</f>
        <v>0.11</v>
      </c>
      <c r="AE360" s="206">
        <f>SUM(AC360:AD360)</f>
        <v>2.2399999999999998</v>
      </c>
      <c r="AG360" s="237" t="s">
        <v>1071</v>
      </c>
      <c r="AH360" s="363" t="s">
        <v>1066</v>
      </c>
      <c r="AI360" s="363"/>
      <c r="AL360" s="207">
        <f>AE360</f>
        <v>2.2399999999999998</v>
      </c>
      <c r="AM360" s="207"/>
      <c r="AN360" s="207">
        <f>BS360</f>
        <v>2.2399999999999998</v>
      </c>
      <c r="AQ360" s="237" t="s">
        <v>1071</v>
      </c>
      <c r="AR360" s="363" t="s">
        <v>1066</v>
      </c>
      <c r="AS360" s="363"/>
      <c r="AT360" s="271">
        <v>4</v>
      </c>
      <c r="AU360" s="214">
        <f t="shared" si="403"/>
        <v>0.0606</v>
      </c>
      <c r="AV360" s="269">
        <f>ROUND(AT360*AU360,2)</f>
        <v>0.24</v>
      </c>
      <c r="AW360" s="269">
        <f>ROUND(AV360*($A$16+$A$17)/100,2)</f>
        <v>0</v>
      </c>
      <c r="AX360" s="198">
        <f>SUM(AV360:AW360)</f>
        <v>0.24</v>
      </c>
      <c r="AY360" s="29">
        <v>8</v>
      </c>
      <c r="AZ360" s="214">
        <f t="shared" si="404"/>
        <v>0.0482</v>
      </c>
      <c r="BA360" s="269">
        <f>ROUND(AY360*AZ360,2)</f>
        <v>0.39</v>
      </c>
      <c r="BB360" s="269">
        <f>ROUND(BA360*($A$16+$A$17)/100,2)</f>
        <v>0</v>
      </c>
      <c r="BC360" s="198">
        <f>SUM(BA360:BB360)</f>
        <v>0.39</v>
      </c>
      <c r="BD360" s="199">
        <f>SUM(AX360,BC360)</f>
        <v>0.63</v>
      </c>
      <c r="BE360" s="237" t="s">
        <v>1071</v>
      </c>
      <c r="BF360" s="363" t="s">
        <v>1066</v>
      </c>
      <c r="BG360" s="363"/>
      <c r="BI360" s="200">
        <f>BD360</f>
        <v>0.63</v>
      </c>
      <c r="BJ360" s="200">
        <f>ROUND(BI360*$S$19,2)</f>
        <v>0.07</v>
      </c>
      <c r="BK360" s="197">
        <f>ROUND(SUM(BI360:BJ360)*$AA$19,2)</f>
        <v>0.24</v>
      </c>
      <c r="BL360" s="197">
        <f>ROUND(SUM(BI360:BJ360)*$AA$21,2)</f>
        <v>0</v>
      </c>
      <c r="BM360" s="197">
        <f>ROUND(SUM(BI360:BJ360)*$AA$20,2)</f>
        <v>0.01</v>
      </c>
      <c r="BN360" s="201">
        <f>ROUND(BI360*$S$20,2)</f>
        <v>0.69</v>
      </c>
      <c r="BO360" s="202">
        <f>SUM(BI360:BN360)</f>
        <v>1.64</v>
      </c>
      <c r="BP360" s="203">
        <f>ROUND(BO360*$S$21,2)</f>
        <v>0.49</v>
      </c>
      <c r="BQ360" s="204">
        <f>SUM(BO360:BP360)</f>
        <v>2.13</v>
      </c>
      <c r="BR360" s="205">
        <f>ROUND(BQ360*$AD$19/95,2)</f>
        <v>0.11</v>
      </c>
      <c r="BS360" s="206">
        <f>SUM(BQ360:BR360)</f>
        <v>2.2399999999999998</v>
      </c>
    </row>
    <row r="361" spans="2:71" ht="22.5" customHeight="1">
      <c r="B361" s="237" t="s">
        <v>1072</v>
      </c>
      <c r="C361" s="363" t="s">
        <v>559</v>
      </c>
      <c r="D361" s="78" t="s">
        <v>53</v>
      </c>
      <c r="E361" s="190">
        <v>6</v>
      </c>
      <c r="F361" s="214">
        <f>$G$16</f>
        <v>0.0606</v>
      </c>
      <c r="G361" s="197">
        <f>ROUND(E361*F361,2)</f>
        <v>0.36</v>
      </c>
      <c r="H361" s="197">
        <f>ROUND(G361*($A$16+$A$17)/100,2)</f>
        <v>0</v>
      </c>
      <c r="I361" s="198">
        <f>SUM(G361:H361)</f>
        <v>0.36</v>
      </c>
      <c r="J361" s="257">
        <v>13</v>
      </c>
      <c r="K361" s="214">
        <f>$G$19</f>
        <v>0.0482</v>
      </c>
      <c r="L361" s="197">
        <f>ROUND(J361*K361,2)</f>
        <v>0.63</v>
      </c>
      <c r="M361" s="197">
        <f>ROUND(L361*($A$16+$A$17)/100,2)</f>
        <v>0</v>
      </c>
      <c r="N361" s="198">
        <f>SUM(L361:M361)</f>
        <v>0.63</v>
      </c>
      <c r="O361" s="199">
        <f>SUM(I361,N361)</f>
        <v>0.99</v>
      </c>
      <c r="P361" s="237" t="s">
        <v>1072</v>
      </c>
      <c r="Q361" s="363" t="s">
        <v>559</v>
      </c>
      <c r="R361" s="363"/>
      <c r="T361" t="s">
        <v>54</v>
      </c>
      <c r="U361" s="200">
        <f>O361</f>
        <v>0.99</v>
      </c>
      <c r="V361" s="200">
        <f>ROUND(U361*$S$19,2)</f>
        <v>0.1</v>
      </c>
      <c r="W361" s="197">
        <f>ROUND(SUM(U361:V361)*$AA$19,2)</f>
        <v>0.37</v>
      </c>
      <c r="X361" s="197">
        <f>ROUND(SUM(U361:V361)*$AA$21,2)</f>
        <v>0</v>
      </c>
      <c r="Y361" s="197">
        <f>ROUND(SUM(U361:V361)*$AA$20,2)</f>
        <v>0.02</v>
      </c>
      <c r="Z361" s="201">
        <f>ROUND(U361*$S$20,2)</f>
        <v>1.09</v>
      </c>
      <c r="AA361" s="202">
        <f>SUM(U361:Z361)</f>
        <v>2.5700000000000003</v>
      </c>
      <c r="AB361" s="203">
        <f>ROUND(AA361*$S$21,2)</f>
        <v>0.77</v>
      </c>
      <c r="AC361" s="204">
        <f>SUM(AA361:AB361)</f>
        <v>3.3400000000000003</v>
      </c>
      <c r="AD361" s="205">
        <f>ROUND(AC361*$AD$19/95,2)</f>
        <v>0.18</v>
      </c>
      <c r="AE361" s="206">
        <f>SUM(AC361:AD361)</f>
        <v>3.5200000000000005</v>
      </c>
      <c r="AG361" s="237" t="s">
        <v>1072</v>
      </c>
      <c r="AH361" s="363" t="s">
        <v>559</v>
      </c>
      <c r="AI361" s="363"/>
      <c r="AL361" s="207">
        <f>AE361</f>
        <v>3.5200000000000005</v>
      </c>
      <c r="AM361" s="207"/>
      <c r="AN361" s="207">
        <f>BS361</f>
        <v>3.5200000000000005</v>
      </c>
      <c r="AQ361" s="237" t="s">
        <v>1072</v>
      </c>
      <c r="AR361" s="363" t="s">
        <v>559</v>
      </c>
      <c r="AS361" s="363"/>
      <c r="AT361" s="271">
        <v>6</v>
      </c>
      <c r="AU361" s="214">
        <f t="shared" si="403"/>
        <v>0.0606</v>
      </c>
      <c r="AV361" s="269">
        <f>ROUND(AT361*AU361,2)</f>
        <v>0.36</v>
      </c>
      <c r="AW361" s="269">
        <f>ROUND(AV361*($A$16+$A$17)/100,2)</f>
        <v>0</v>
      </c>
      <c r="AX361" s="198">
        <f>SUM(AV361:AW361)</f>
        <v>0.36</v>
      </c>
      <c r="AY361" s="29">
        <v>13</v>
      </c>
      <c r="AZ361" s="214">
        <f t="shared" si="404"/>
        <v>0.0482</v>
      </c>
      <c r="BA361" s="269">
        <f>ROUND(AY361*AZ361,2)</f>
        <v>0.63</v>
      </c>
      <c r="BB361" s="269">
        <f>ROUND(BA361*($A$16+$A$17)/100,2)</f>
        <v>0</v>
      </c>
      <c r="BC361" s="198">
        <f>SUM(BA361:BB361)</f>
        <v>0.63</v>
      </c>
      <c r="BD361" s="199">
        <f>SUM(AX361,BC361)</f>
        <v>0.99</v>
      </c>
      <c r="BE361" s="237" t="s">
        <v>1072</v>
      </c>
      <c r="BF361" s="363" t="s">
        <v>559</v>
      </c>
      <c r="BG361" s="363"/>
      <c r="BI361" s="200">
        <f>BD361</f>
        <v>0.99</v>
      </c>
      <c r="BJ361" s="200">
        <f>ROUND(BI361*$S$19,2)</f>
        <v>0.1</v>
      </c>
      <c r="BK361" s="197">
        <f>ROUND(SUM(BI361:BJ361)*$AA$19,2)</f>
        <v>0.37</v>
      </c>
      <c r="BL361" s="197">
        <f>ROUND(SUM(BI361:BJ361)*$AA$21,2)</f>
        <v>0</v>
      </c>
      <c r="BM361" s="197">
        <f>ROUND(SUM(BI361:BJ361)*$AA$20,2)</f>
        <v>0.02</v>
      </c>
      <c r="BN361" s="201">
        <f>ROUND(BI361*$S$20,2)</f>
        <v>1.09</v>
      </c>
      <c r="BO361" s="202">
        <f>SUM(BI361:BN361)</f>
        <v>2.5700000000000003</v>
      </c>
      <c r="BP361" s="203">
        <f>ROUND(BO361*$S$21,2)</f>
        <v>0.77</v>
      </c>
      <c r="BQ361" s="204">
        <f>SUM(BO361:BP361)</f>
        <v>3.3400000000000003</v>
      </c>
      <c r="BR361" s="205">
        <f>ROUND(BQ361*$AD$19/95,2)</f>
        <v>0.18</v>
      </c>
      <c r="BS361" s="206">
        <f>SUM(BQ361:BR361)</f>
        <v>3.5200000000000005</v>
      </c>
    </row>
    <row r="362" spans="2:59" ht="14.25" customHeight="1">
      <c r="B362" s="239" t="s">
        <v>1075</v>
      </c>
      <c r="C362" s="362" t="s">
        <v>634</v>
      </c>
      <c r="D362" s="251"/>
      <c r="E362" s="255"/>
      <c r="F362" s="256"/>
      <c r="G362" s="253"/>
      <c r="H362" s="253"/>
      <c r="I362" s="254"/>
      <c r="J362" s="255"/>
      <c r="K362" s="255"/>
      <c r="L362" s="253"/>
      <c r="M362" s="253"/>
      <c r="N362" s="254"/>
      <c r="O362" s="220"/>
      <c r="P362" s="239" t="s">
        <v>1075</v>
      </c>
      <c r="Q362" s="362" t="s">
        <v>634</v>
      </c>
      <c r="R362" s="359"/>
      <c r="U362" s="253"/>
      <c r="V362" s="253"/>
      <c r="W362" s="253"/>
      <c r="X362" s="253"/>
      <c r="Y362" s="253"/>
      <c r="Z362" s="253"/>
      <c r="AA362" s="253"/>
      <c r="AB362" s="253"/>
      <c r="AC362" s="253"/>
      <c r="AD362" s="253"/>
      <c r="AE362" s="220"/>
      <c r="AG362" s="239" t="s">
        <v>1075</v>
      </c>
      <c r="AH362" s="362" t="s">
        <v>634</v>
      </c>
      <c r="AI362" s="359"/>
      <c r="AL362" s="207"/>
      <c r="AM362" s="207"/>
      <c r="AN362" s="207"/>
      <c r="AQ362" s="239" t="s">
        <v>1075</v>
      </c>
      <c r="AR362" s="362" t="s">
        <v>634</v>
      </c>
      <c r="AS362" s="359"/>
      <c r="AT362" s="271"/>
      <c r="AU362" s="256"/>
      <c r="AV362" s="254"/>
      <c r="AW362" s="254"/>
      <c r="AX362" s="254"/>
      <c r="AY362" s="252"/>
      <c r="AZ362" s="256"/>
      <c r="BA362" s="254"/>
      <c r="BB362" s="254"/>
      <c r="BC362" s="254"/>
      <c r="BD362" s="220"/>
      <c r="BE362" s="239" t="s">
        <v>1075</v>
      </c>
      <c r="BF362" s="362" t="s">
        <v>634</v>
      </c>
      <c r="BG362" s="359"/>
    </row>
    <row r="363" spans="2:71" ht="15" customHeight="1">
      <c r="B363" s="237" t="s">
        <v>1076</v>
      </c>
      <c r="C363" s="282" t="s">
        <v>636</v>
      </c>
      <c r="D363" s="78" t="s">
        <v>53</v>
      </c>
      <c r="E363" s="190">
        <v>12</v>
      </c>
      <c r="F363" s="214">
        <f>$G$16</f>
        <v>0.0606</v>
      </c>
      <c r="G363" s="197">
        <f>ROUND(E363*F363,2)</f>
        <v>0.73</v>
      </c>
      <c r="H363" s="197">
        <f>ROUND(G363*($A$16+$A$17)/100,2)</f>
        <v>0</v>
      </c>
      <c r="I363" s="198">
        <f>SUM(G363:H363)</f>
        <v>0.73</v>
      </c>
      <c r="J363" s="257">
        <v>22</v>
      </c>
      <c r="K363" s="214">
        <f>$G$19</f>
        <v>0.0482</v>
      </c>
      <c r="L363" s="197">
        <f>ROUND(J363*K363,2)</f>
        <v>1.06</v>
      </c>
      <c r="M363" s="197">
        <f>ROUND(L363*($A$16+$A$17)/100,2)</f>
        <v>0</v>
      </c>
      <c r="N363" s="198">
        <f>SUM(L363:M363)</f>
        <v>1.06</v>
      </c>
      <c r="O363" s="199">
        <f>SUM(I363,N363)</f>
        <v>1.79</v>
      </c>
      <c r="P363" s="237" t="s">
        <v>1076</v>
      </c>
      <c r="Q363" s="282" t="s">
        <v>636</v>
      </c>
      <c r="R363" s="363"/>
      <c r="T363" t="s">
        <v>54</v>
      </c>
      <c r="U363" s="200">
        <f>O363</f>
        <v>1.79</v>
      </c>
      <c r="V363" s="200">
        <f>ROUND(U363*$S$19,2)</f>
        <v>0.19</v>
      </c>
      <c r="W363" s="197">
        <f>ROUND(SUM(U363:V363)*$AA$19,2)</f>
        <v>0.67</v>
      </c>
      <c r="X363" s="197">
        <f>ROUND(SUM(U363:V363)*$AA$21,2)</f>
        <v>0</v>
      </c>
      <c r="Y363" s="197">
        <f>ROUND(SUM(U363:V363)*$AA$20,2)</f>
        <v>0.03</v>
      </c>
      <c r="Z363" s="201">
        <f>ROUND(U363*$S$20,2)</f>
        <v>1.96</v>
      </c>
      <c r="AA363" s="202">
        <f>SUM(U363:Z363)</f>
        <v>4.64</v>
      </c>
      <c r="AB363" s="203">
        <f>ROUND(AA363*$S$21,2)</f>
        <v>1.39</v>
      </c>
      <c r="AC363" s="204">
        <f>SUM(AA363:AB363)</f>
        <v>6.029999999999999</v>
      </c>
      <c r="AD363" s="205">
        <f>ROUND(AC363*$AD$19/95,2)</f>
        <v>0.32</v>
      </c>
      <c r="AE363" s="206">
        <f>SUM(AC363:AD363)</f>
        <v>6.35</v>
      </c>
      <c r="AG363" s="237" t="s">
        <v>1076</v>
      </c>
      <c r="AH363" s="282" t="s">
        <v>636</v>
      </c>
      <c r="AI363" s="363"/>
      <c r="AL363" s="207">
        <f>AE363</f>
        <v>6.35</v>
      </c>
      <c r="AM363" s="207"/>
      <c r="AN363" s="207">
        <f>BS363</f>
        <v>6.35</v>
      </c>
      <c r="AQ363" s="237" t="s">
        <v>1076</v>
      </c>
      <c r="AR363" s="282" t="s">
        <v>636</v>
      </c>
      <c r="AS363" s="363"/>
      <c r="AT363" s="271">
        <v>12</v>
      </c>
      <c r="AU363" s="214">
        <f t="shared" si="403"/>
        <v>0.0606</v>
      </c>
      <c r="AV363" s="269">
        <f>ROUND(AT363*AU363,2)</f>
        <v>0.73</v>
      </c>
      <c r="AW363" s="269">
        <f>ROUND(AV363*($A$16+$A$17)/100,2)</f>
        <v>0</v>
      </c>
      <c r="AX363" s="198">
        <f>SUM(AV363:AW363)</f>
        <v>0.73</v>
      </c>
      <c r="AY363" s="29">
        <v>22</v>
      </c>
      <c r="AZ363" s="214">
        <f t="shared" si="404"/>
        <v>0.0482</v>
      </c>
      <c r="BA363" s="269">
        <f>ROUND(AY363*AZ363,2)</f>
        <v>1.06</v>
      </c>
      <c r="BB363" s="269">
        <f>ROUND(BA363*($A$16+$A$17)/100,2)</f>
        <v>0</v>
      </c>
      <c r="BC363" s="198">
        <f>SUM(BA363:BB363)</f>
        <v>1.06</v>
      </c>
      <c r="BD363" s="199">
        <f>SUM(AX363,BC363)</f>
        <v>1.79</v>
      </c>
      <c r="BE363" s="237" t="s">
        <v>1076</v>
      </c>
      <c r="BF363" s="282" t="s">
        <v>636</v>
      </c>
      <c r="BG363" s="363"/>
      <c r="BI363" s="200">
        <f>BD363</f>
        <v>1.79</v>
      </c>
      <c r="BJ363" s="200">
        <f>ROUND(BI363*$S$19,2)</f>
        <v>0.19</v>
      </c>
      <c r="BK363" s="197">
        <f>ROUND(SUM(BI363:BJ363)*$AA$19,2)</f>
        <v>0.67</v>
      </c>
      <c r="BL363" s="197">
        <f>ROUND(SUM(BI363:BJ363)*$AA$21,2)</f>
        <v>0</v>
      </c>
      <c r="BM363" s="197">
        <f>ROUND(SUM(BI363:BJ363)*$AA$20,2)</f>
        <v>0.03</v>
      </c>
      <c r="BN363" s="201">
        <f>ROUND(BI363*$S$20,2)</f>
        <v>1.96</v>
      </c>
      <c r="BO363" s="202">
        <f>SUM(BI363:BN363)</f>
        <v>4.64</v>
      </c>
      <c r="BP363" s="203">
        <f>ROUND(BO363*$S$21,2)</f>
        <v>1.39</v>
      </c>
      <c r="BQ363" s="204">
        <f>SUM(BO363:BP363)</f>
        <v>6.029999999999999</v>
      </c>
      <c r="BR363" s="205">
        <f>ROUND(BQ363*$AD$19/95,2)</f>
        <v>0.32</v>
      </c>
      <c r="BS363" s="206">
        <f>SUM(BQ363:BR363)</f>
        <v>6.35</v>
      </c>
    </row>
    <row r="364" spans="2:59" ht="41.25" customHeight="1">
      <c r="B364" s="239" t="s">
        <v>1077</v>
      </c>
      <c r="C364" s="402" t="s">
        <v>1079</v>
      </c>
      <c r="D364" s="401"/>
      <c r="E364" s="255"/>
      <c r="F364" s="256"/>
      <c r="G364" s="253"/>
      <c r="H364" s="253"/>
      <c r="I364" s="254"/>
      <c r="J364" s="255"/>
      <c r="K364" s="255"/>
      <c r="L364" s="253"/>
      <c r="M364" s="253"/>
      <c r="N364" s="254"/>
      <c r="O364" s="220"/>
      <c r="P364" s="239" t="s">
        <v>1077</v>
      </c>
      <c r="Q364" s="463" t="s">
        <v>1079</v>
      </c>
      <c r="R364" s="463"/>
      <c r="U364" s="253"/>
      <c r="V364" s="253"/>
      <c r="W364" s="253"/>
      <c r="X364" s="253"/>
      <c r="Y364" s="253"/>
      <c r="Z364" s="253"/>
      <c r="AA364" s="253"/>
      <c r="AB364" s="253"/>
      <c r="AC364" s="253"/>
      <c r="AD364" s="253"/>
      <c r="AE364" s="220"/>
      <c r="AG364" s="239" t="s">
        <v>1077</v>
      </c>
      <c r="AH364" s="463" t="s">
        <v>1079</v>
      </c>
      <c r="AI364" s="463"/>
      <c r="AL364" s="207"/>
      <c r="AM364" s="207"/>
      <c r="AN364" s="207"/>
      <c r="AQ364" s="239" t="s">
        <v>1077</v>
      </c>
      <c r="AR364" s="463" t="s">
        <v>1079</v>
      </c>
      <c r="AS364" s="463"/>
      <c r="AT364" s="271"/>
      <c r="AU364" s="256"/>
      <c r="AV364" s="254"/>
      <c r="AW364" s="254"/>
      <c r="AX364" s="254"/>
      <c r="AY364" s="252"/>
      <c r="AZ364" s="256"/>
      <c r="BA364" s="254"/>
      <c r="BB364" s="254"/>
      <c r="BC364" s="254"/>
      <c r="BD364" s="220"/>
      <c r="BE364" s="239" t="s">
        <v>1077</v>
      </c>
      <c r="BF364" s="463" t="s">
        <v>1079</v>
      </c>
      <c r="BG364" s="463"/>
    </row>
    <row r="365" spans="2:71" ht="21.75" customHeight="1">
      <c r="B365" s="237" t="s">
        <v>1078</v>
      </c>
      <c r="C365" s="363" t="s">
        <v>1066</v>
      </c>
      <c r="D365" s="78" t="s">
        <v>53</v>
      </c>
      <c r="E365" s="190">
        <v>5</v>
      </c>
      <c r="F365" s="214">
        <f>$G$16</f>
        <v>0.0606</v>
      </c>
      <c r="G365" s="197">
        <f>ROUND(E365*F365,2)</f>
        <v>0.3</v>
      </c>
      <c r="H365" s="197">
        <f>ROUND(G365*($A$16+$A$17)/100,2)</f>
        <v>0</v>
      </c>
      <c r="I365" s="198">
        <f>SUM(G365:H365)</f>
        <v>0.3</v>
      </c>
      <c r="J365" s="257">
        <v>10</v>
      </c>
      <c r="K365" s="214">
        <f>$G$19</f>
        <v>0.0482</v>
      </c>
      <c r="L365" s="197">
        <f>ROUND(J365*K365,2)</f>
        <v>0.48</v>
      </c>
      <c r="M365" s="197">
        <f>ROUND(L365*($A$16+$A$17)/100,2)</f>
        <v>0</v>
      </c>
      <c r="N365" s="198">
        <f>SUM(L365:M365)</f>
        <v>0.48</v>
      </c>
      <c r="O365" s="199">
        <f>SUM(I365,N365)</f>
        <v>0.78</v>
      </c>
      <c r="P365" s="237" t="s">
        <v>1078</v>
      </c>
      <c r="Q365" s="438" t="s">
        <v>1066</v>
      </c>
      <c r="R365" s="438"/>
      <c r="T365" t="s">
        <v>54</v>
      </c>
      <c r="U365" s="200">
        <f>O365</f>
        <v>0.78</v>
      </c>
      <c r="V365" s="200">
        <f>ROUND(U365*$S$19,2)</f>
        <v>0.08</v>
      </c>
      <c r="W365" s="197">
        <f>ROUND(SUM(U365:V365)*$AA$19,2)</f>
        <v>0.29</v>
      </c>
      <c r="X365" s="197">
        <f>ROUND(SUM(U365:V365)*$AA$21,2)</f>
        <v>0</v>
      </c>
      <c r="Y365" s="197">
        <f>ROUND(SUM(U365:V365)*$AA$20,2)</f>
        <v>0.01</v>
      </c>
      <c r="Z365" s="201">
        <f>ROUND(U365*$S$20,2)</f>
        <v>0.86</v>
      </c>
      <c r="AA365" s="202">
        <f>SUM(U365:Z365)</f>
        <v>2.02</v>
      </c>
      <c r="AB365" s="203">
        <f>ROUND(AA365*$S$21,2)</f>
        <v>0.61</v>
      </c>
      <c r="AC365" s="204">
        <f>SUM(AA365:AB365)</f>
        <v>2.63</v>
      </c>
      <c r="AD365" s="205">
        <f>ROUND(AC365*$AD$19/95,2)</f>
        <v>0.14</v>
      </c>
      <c r="AE365" s="206">
        <f>SUM(AC365:AD365)</f>
        <v>2.77</v>
      </c>
      <c r="AG365" s="237" t="s">
        <v>1078</v>
      </c>
      <c r="AH365" s="438" t="s">
        <v>1066</v>
      </c>
      <c r="AI365" s="438"/>
      <c r="AL365" s="207">
        <f>AE365</f>
        <v>2.77</v>
      </c>
      <c r="AM365" s="207"/>
      <c r="AN365" s="207">
        <f>BS365</f>
        <v>2.77</v>
      </c>
      <c r="AQ365" s="237" t="s">
        <v>1078</v>
      </c>
      <c r="AR365" s="438" t="s">
        <v>1066</v>
      </c>
      <c r="AS365" s="438"/>
      <c r="AT365" s="271">
        <v>5</v>
      </c>
      <c r="AU365" s="214">
        <f t="shared" si="403"/>
        <v>0.0606</v>
      </c>
      <c r="AV365" s="269">
        <f>ROUND(AT365*AU365,2)</f>
        <v>0.3</v>
      </c>
      <c r="AW365" s="269">
        <f>ROUND(AV365*($A$16+$A$17)/100,2)</f>
        <v>0</v>
      </c>
      <c r="AX365" s="198">
        <f>SUM(AV365:AW365)</f>
        <v>0.3</v>
      </c>
      <c r="AY365" s="29">
        <v>10</v>
      </c>
      <c r="AZ365" s="214">
        <f t="shared" si="404"/>
        <v>0.0482</v>
      </c>
      <c r="BA365" s="269">
        <f>ROUND(AY365*AZ365,2)</f>
        <v>0.48</v>
      </c>
      <c r="BB365" s="269">
        <f>ROUND(BA365*($A$16+$A$17)/100,2)</f>
        <v>0</v>
      </c>
      <c r="BC365" s="198">
        <f>SUM(BA365:BB365)</f>
        <v>0.48</v>
      </c>
      <c r="BD365" s="199">
        <f>SUM(AX365,BC365)</f>
        <v>0.78</v>
      </c>
      <c r="BE365" s="237" t="s">
        <v>1078</v>
      </c>
      <c r="BF365" s="438" t="s">
        <v>1066</v>
      </c>
      <c r="BG365" s="438"/>
      <c r="BI365" s="200">
        <f>BD365</f>
        <v>0.78</v>
      </c>
      <c r="BJ365" s="200">
        <f>ROUND(BI365*$S$19,2)</f>
        <v>0.08</v>
      </c>
      <c r="BK365" s="197">
        <f>ROUND(SUM(BI365:BJ365)*$AA$19,2)</f>
        <v>0.29</v>
      </c>
      <c r="BL365" s="197">
        <f>ROUND(SUM(BI365:BJ365)*$AA$21,2)</f>
        <v>0</v>
      </c>
      <c r="BM365" s="197">
        <f>ROUND(SUM(BI365:BJ365)*$AA$20,2)</f>
        <v>0.01</v>
      </c>
      <c r="BN365" s="201">
        <f>ROUND(BI365*$S$20,2)</f>
        <v>0.86</v>
      </c>
      <c r="BO365" s="202">
        <f>SUM(BI365:BN365)</f>
        <v>2.02</v>
      </c>
      <c r="BP365" s="203">
        <f>ROUND(BO365*$S$21,2)</f>
        <v>0.61</v>
      </c>
      <c r="BQ365" s="204">
        <f>SUM(BO365:BP365)</f>
        <v>2.63</v>
      </c>
      <c r="BR365" s="205">
        <f>ROUND(BQ365*$AD$19/95,2)</f>
        <v>0.14</v>
      </c>
      <c r="BS365" s="206">
        <f>SUM(BQ365:BR365)</f>
        <v>2.77</v>
      </c>
    </row>
    <row r="366" spans="2:59" ht="24" customHeight="1">
      <c r="B366" s="239" t="s">
        <v>1081</v>
      </c>
      <c r="C366" s="402" t="s">
        <v>642</v>
      </c>
      <c r="D366" s="401"/>
      <c r="E366" s="255"/>
      <c r="F366" s="256"/>
      <c r="G366" s="253"/>
      <c r="H366" s="253"/>
      <c r="I366" s="254"/>
      <c r="J366" s="255"/>
      <c r="K366" s="255"/>
      <c r="L366" s="253"/>
      <c r="M366" s="253"/>
      <c r="N366" s="254"/>
      <c r="O366" s="220"/>
      <c r="P366" s="239" t="s">
        <v>1081</v>
      </c>
      <c r="Q366" s="463" t="s">
        <v>642</v>
      </c>
      <c r="R366" s="463"/>
      <c r="U366" s="253"/>
      <c r="V366" s="253"/>
      <c r="W366" s="253"/>
      <c r="X366" s="253"/>
      <c r="Y366" s="253"/>
      <c r="Z366" s="253"/>
      <c r="AA366" s="253"/>
      <c r="AB366" s="253"/>
      <c r="AC366" s="253"/>
      <c r="AD366" s="253"/>
      <c r="AE366" s="220"/>
      <c r="AG366" s="239" t="s">
        <v>1081</v>
      </c>
      <c r="AH366" s="463" t="s">
        <v>642</v>
      </c>
      <c r="AI366" s="463"/>
      <c r="AL366" s="207"/>
      <c r="AM366" s="207"/>
      <c r="AN366" s="207"/>
      <c r="AQ366" s="239" t="s">
        <v>1081</v>
      </c>
      <c r="AR366" s="463" t="s">
        <v>642</v>
      </c>
      <c r="AS366" s="463"/>
      <c r="AT366" s="271"/>
      <c r="AU366" s="256"/>
      <c r="AV366" s="254"/>
      <c r="AW366" s="254"/>
      <c r="AX366" s="254"/>
      <c r="AY366" s="252"/>
      <c r="AZ366" s="256"/>
      <c r="BA366" s="254"/>
      <c r="BB366" s="254"/>
      <c r="BC366" s="254"/>
      <c r="BD366" s="220"/>
      <c r="BE366" s="239" t="s">
        <v>1081</v>
      </c>
      <c r="BF366" s="463" t="s">
        <v>642</v>
      </c>
      <c r="BG366" s="463"/>
    </row>
    <row r="367" spans="2:71" ht="22.5" customHeight="1">
      <c r="B367" s="237" t="s">
        <v>1082</v>
      </c>
      <c r="C367" s="363" t="s">
        <v>1084</v>
      </c>
      <c r="D367" s="78" t="s">
        <v>53</v>
      </c>
      <c r="E367" s="190">
        <v>7</v>
      </c>
      <c r="F367" s="214">
        <f>$G$16</f>
        <v>0.0606</v>
      </c>
      <c r="G367" s="197">
        <f>ROUND(E367*F367,2)</f>
        <v>0.42</v>
      </c>
      <c r="H367" s="197">
        <f>ROUND(G367*($A$16+$A$17)/100,2)</f>
        <v>0</v>
      </c>
      <c r="I367" s="198">
        <f>SUM(G367:H367)</f>
        <v>0.42</v>
      </c>
      <c r="J367" s="257">
        <v>13</v>
      </c>
      <c r="K367" s="214">
        <f>$G$19</f>
        <v>0.0482</v>
      </c>
      <c r="L367" s="197">
        <f>ROUND(J367*K367,2)</f>
        <v>0.63</v>
      </c>
      <c r="M367" s="197">
        <f>ROUND(L367*($A$16+$A$17)/100,2)</f>
        <v>0</v>
      </c>
      <c r="N367" s="198">
        <f>SUM(L367:M367)</f>
        <v>0.63</v>
      </c>
      <c r="O367" s="199">
        <f>SUM(I367,N367)</f>
        <v>1.05</v>
      </c>
      <c r="P367" s="237" t="s">
        <v>1082</v>
      </c>
      <c r="Q367" s="438" t="s">
        <v>1084</v>
      </c>
      <c r="R367" s="438"/>
      <c r="T367" t="s">
        <v>54</v>
      </c>
      <c r="U367" s="200">
        <f>O367</f>
        <v>1.05</v>
      </c>
      <c r="V367" s="200">
        <f>ROUND(U367*$S$19,2)</f>
        <v>0.11</v>
      </c>
      <c r="W367" s="197">
        <f>ROUND(SUM(U367:V367)*$AA$19,2)</f>
        <v>0.39</v>
      </c>
      <c r="X367" s="197">
        <f>ROUND(SUM(U367:V367)*$AA$21,2)</f>
        <v>0</v>
      </c>
      <c r="Y367" s="197">
        <f>ROUND(SUM(U367:V367)*$AA$20,2)</f>
        <v>0.02</v>
      </c>
      <c r="Z367" s="201">
        <f>ROUND(U367*$S$20,2)</f>
        <v>1.15</v>
      </c>
      <c r="AA367" s="202">
        <f>SUM(U367:Z367)</f>
        <v>2.72</v>
      </c>
      <c r="AB367" s="203">
        <f>ROUND(AA367*$S$21,2)</f>
        <v>0.82</v>
      </c>
      <c r="AC367" s="204">
        <f>SUM(AA367:AB367)</f>
        <v>3.54</v>
      </c>
      <c r="AD367" s="205">
        <f>ROUND(AC367*$AD$19/95,2)</f>
        <v>0.19</v>
      </c>
      <c r="AE367" s="206">
        <f>SUM(AC367:AD367)</f>
        <v>3.73</v>
      </c>
      <c r="AG367" s="237" t="s">
        <v>1082</v>
      </c>
      <c r="AH367" s="438" t="s">
        <v>1084</v>
      </c>
      <c r="AI367" s="438"/>
      <c r="AL367" s="207">
        <f>AE367</f>
        <v>3.73</v>
      </c>
      <c r="AM367" s="207"/>
      <c r="AN367" s="207">
        <f>BS367</f>
        <v>3.73</v>
      </c>
      <c r="AQ367" s="237" t="s">
        <v>1082</v>
      </c>
      <c r="AR367" s="438" t="s">
        <v>1084</v>
      </c>
      <c r="AS367" s="438"/>
      <c r="AT367" s="271">
        <v>7</v>
      </c>
      <c r="AU367" s="214">
        <f t="shared" si="403"/>
        <v>0.0606</v>
      </c>
      <c r="AV367" s="269">
        <f>ROUND(AT367*AU367,2)</f>
        <v>0.42</v>
      </c>
      <c r="AW367" s="269">
        <f>ROUND(AV367*($A$16+$A$17)/100,2)</f>
        <v>0</v>
      </c>
      <c r="AX367" s="198">
        <f>SUM(AV367:AW367)</f>
        <v>0.42</v>
      </c>
      <c r="AY367" s="29">
        <v>13</v>
      </c>
      <c r="AZ367" s="214">
        <f t="shared" si="404"/>
        <v>0.0482</v>
      </c>
      <c r="BA367" s="269">
        <f>ROUND(AY367*AZ367,2)</f>
        <v>0.63</v>
      </c>
      <c r="BB367" s="269">
        <f>ROUND(BA367*($A$16+$A$17)/100,2)</f>
        <v>0</v>
      </c>
      <c r="BC367" s="198">
        <f>SUM(BA367:BB367)</f>
        <v>0.63</v>
      </c>
      <c r="BD367" s="199">
        <f>SUM(AX367,BC367)</f>
        <v>1.05</v>
      </c>
      <c r="BE367" s="237" t="s">
        <v>1082</v>
      </c>
      <c r="BF367" s="438" t="s">
        <v>1084</v>
      </c>
      <c r="BG367" s="438"/>
      <c r="BI367" s="200">
        <f>BD367</f>
        <v>1.05</v>
      </c>
      <c r="BJ367" s="200">
        <f>ROUND(BI367*$S$19,2)</f>
        <v>0.11</v>
      </c>
      <c r="BK367" s="197">
        <f>ROUND(SUM(BI367:BJ367)*$AA$19,2)</f>
        <v>0.39</v>
      </c>
      <c r="BL367" s="197">
        <f>ROUND(SUM(BI367:BJ367)*$AA$21,2)</f>
        <v>0</v>
      </c>
      <c r="BM367" s="197">
        <f>ROUND(SUM(BI367:BJ367)*$AA$20,2)</f>
        <v>0.02</v>
      </c>
      <c r="BN367" s="201">
        <f>ROUND(BI367*$S$20,2)</f>
        <v>1.15</v>
      </c>
      <c r="BO367" s="202">
        <f>SUM(BI367:BN367)</f>
        <v>2.72</v>
      </c>
      <c r="BP367" s="203">
        <f>ROUND(BO367*$S$21,2)</f>
        <v>0.82</v>
      </c>
      <c r="BQ367" s="204">
        <f>SUM(BO367:BP367)</f>
        <v>3.54</v>
      </c>
      <c r="BR367" s="205">
        <f>ROUND(BQ367*$AD$19/95,2)</f>
        <v>0.19</v>
      </c>
      <c r="BS367" s="206">
        <f>SUM(BQ367:BR367)</f>
        <v>3.73</v>
      </c>
    </row>
    <row r="368" spans="2:71" ht="22.5" customHeight="1">
      <c r="B368" s="237" t="s">
        <v>1083</v>
      </c>
      <c r="C368" s="363" t="s">
        <v>626</v>
      </c>
      <c r="D368" s="78" t="s">
        <v>53</v>
      </c>
      <c r="E368" s="190">
        <v>9</v>
      </c>
      <c r="F368" s="214">
        <f>$G$16</f>
        <v>0.0606</v>
      </c>
      <c r="G368" s="197">
        <f>ROUND(E368*F368,2)</f>
        <v>0.55</v>
      </c>
      <c r="H368" s="197">
        <f>ROUND(G368*($A$16+$A$17)/100,2)</f>
        <v>0</v>
      </c>
      <c r="I368" s="198">
        <f>SUM(G368:H368)</f>
        <v>0.55</v>
      </c>
      <c r="J368" s="257">
        <v>16</v>
      </c>
      <c r="K368" s="214">
        <f>$G$19</f>
        <v>0.0482</v>
      </c>
      <c r="L368" s="197">
        <f>ROUND(J368*K368,2)</f>
        <v>0.77</v>
      </c>
      <c r="M368" s="197">
        <f>ROUND(L368*($A$16+$A$17)/100,2)</f>
        <v>0</v>
      </c>
      <c r="N368" s="198">
        <f>SUM(L368:M368)</f>
        <v>0.77</v>
      </c>
      <c r="O368" s="199">
        <f>SUM(I368,N368)</f>
        <v>1.32</v>
      </c>
      <c r="P368" s="237" t="s">
        <v>1083</v>
      </c>
      <c r="Q368" s="438" t="s">
        <v>626</v>
      </c>
      <c r="R368" s="438"/>
      <c r="T368" t="s">
        <v>54</v>
      </c>
      <c r="U368" s="200">
        <f>O368</f>
        <v>1.32</v>
      </c>
      <c r="V368" s="200">
        <f>ROUND(U368*$S$19,2)</f>
        <v>0.14</v>
      </c>
      <c r="W368" s="197">
        <f>ROUND(SUM(U368:V368)*$AA$19,2)</f>
        <v>0.5</v>
      </c>
      <c r="X368" s="197">
        <f>ROUND(SUM(U368:V368)*$AA$21,2)</f>
        <v>0</v>
      </c>
      <c r="Y368" s="197">
        <f>ROUND(SUM(U368:V368)*$AA$20,2)</f>
        <v>0.02</v>
      </c>
      <c r="Z368" s="201">
        <f>ROUND(U368*$S$20,2)</f>
        <v>1.45</v>
      </c>
      <c r="AA368" s="202">
        <f>SUM(U368:Z368)</f>
        <v>3.4299999999999997</v>
      </c>
      <c r="AB368" s="203">
        <f>ROUND(AA368*$S$21,2)</f>
        <v>1.03</v>
      </c>
      <c r="AC368" s="204">
        <f>SUM(AA368:AB368)</f>
        <v>4.46</v>
      </c>
      <c r="AD368" s="205">
        <f>ROUND(AC368*$AD$19/95,2)</f>
        <v>0.23</v>
      </c>
      <c r="AE368" s="206">
        <f>SUM(AC368:AD368)</f>
        <v>4.69</v>
      </c>
      <c r="AG368" s="237" t="s">
        <v>1083</v>
      </c>
      <c r="AH368" s="438" t="s">
        <v>626</v>
      </c>
      <c r="AI368" s="438"/>
      <c r="AL368" s="207">
        <f>AE368</f>
        <v>4.69</v>
      </c>
      <c r="AM368" s="207"/>
      <c r="AN368" s="207">
        <f>BS368</f>
        <v>4.69</v>
      </c>
      <c r="AQ368" s="237" t="s">
        <v>1083</v>
      </c>
      <c r="AR368" s="438" t="s">
        <v>626</v>
      </c>
      <c r="AS368" s="438"/>
      <c r="AT368" s="271">
        <v>9</v>
      </c>
      <c r="AU368" s="214">
        <f t="shared" si="403"/>
        <v>0.0606</v>
      </c>
      <c r="AV368" s="269">
        <f>ROUND(AT368*AU368,2)</f>
        <v>0.55</v>
      </c>
      <c r="AW368" s="269">
        <f>ROUND(AV368*($A$16+$A$17)/100,2)</f>
        <v>0</v>
      </c>
      <c r="AX368" s="198">
        <f>SUM(AV368:AW368)</f>
        <v>0.55</v>
      </c>
      <c r="AY368" s="29">
        <v>16</v>
      </c>
      <c r="AZ368" s="214">
        <f t="shared" si="404"/>
        <v>0.0482</v>
      </c>
      <c r="BA368" s="269">
        <f>ROUND(AY368*AZ368,2)</f>
        <v>0.77</v>
      </c>
      <c r="BB368" s="269">
        <f>ROUND(BA368*($A$16+$A$17)/100,2)</f>
        <v>0</v>
      </c>
      <c r="BC368" s="198">
        <f>SUM(BA368:BB368)</f>
        <v>0.77</v>
      </c>
      <c r="BD368" s="199">
        <f>SUM(AX368,BC368)</f>
        <v>1.32</v>
      </c>
      <c r="BE368" s="237" t="s">
        <v>1083</v>
      </c>
      <c r="BF368" s="438" t="s">
        <v>626</v>
      </c>
      <c r="BG368" s="438"/>
      <c r="BI368" s="200">
        <f>BD368</f>
        <v>1.32</v>
      </c>
      <c r="BJ368" s="200">
        <f>ROUND(BI368*$S$19,2)</f>
        <v>0.14</v>
      </c>
      <c r="BK368" s="197">
        <f>ROUND(SUM(BI368:BJ368)*$AA$19,2)</f>
        <v>0.5</v>
      </c>
      <c r="BL368" s="197">
        <f>ROUND(SUM(BI368:BJ368)*$AA$21,2)</f>
        <v>0</v>
      </c>
      <c r="BM368" s="197">
        <f>ROUND(SUM(BI368:BJ368)*$AA$20,2)</f>
        <v>0.02</v>
      </c>
      <c r="BN368" s="201">
        <f>ROUND(BI368*$S$20,2)</f>
        <v>1.45</v>
      </c>
      <c r="BO368" s="202">
        <f>SUM(BI368:BN368)</f>
        <v>3.4299999999999997</v>
      </c>
      <c r="BP368" s="203">
        <f>ROUND(BO368*$S$21,2)</f>
        <v>1.03</v>
      </c>
      <c r="BQ368" s="204">
        <f>SUM(BO368:BP368)</f>
        <v>4.46</v>
      </c>
      <c r="BR368" s="205">
        <f>ROUND(BQ368*$AD$19/95,2)</f>
        <v>0.23</v>
      </c>
      <c r="BS368" s="206">
        <f>SUM(BQ368:BR368)</f>
        <v>4.69</v>
      </c>
    </row>
    <row r="369" spans="2:59" ht="24" customHeight="1">
      <c r="B369" s="239" t="s">
        <v>1085</v>
      </c>
      <c r="C369" s="402" t="s">
        <v>634</v>
      </c>
      <c r="D369" s="401"/>
      <c r="E369" s="255"/>
      <c r="F369" s="256"/>
      <c r="G369" s="253"/>
      <c r="H369" s="253"/>
      <c r="I369" s="254"/>
      <c r="J369" s="255"/>
      <c r="K369" s="255"/>
      <c r="L369" s="253"/>
      <c r="M369" s="253"/>
      <c r="N369" s="254"/>
      <c r="O369" s="220"/>
      <c r="P369" s="239" t="s">
        <v>1085</v>
      </c>
      <c r="Q369" s="463" t="s">
        <v>634</v>
      </c>
      <c r="R369" s="463"/>
      <c r="U369" s="253"/>
      <c r="V369" s="253"/>
      <c r="W369" s="253"/>
      <c r="X369" s="253"/>
      <c r="Y369" s="253"/>
      <c r="Z369" s="253"/>
      <c r="AA369" s="253"/>
      <c r="AB369" s="253"/>
      <c r="AC369" s="253"/>
      <c r="AD369" s="253"/>
      <c r="AE369" s="220"/>
      <c r="AG369" s="239" t="s">
        <v>1085</v>
      </c>
      <c r="AH369" s="463" t="s">
        <v>634</v>
      </c>
      <c r="AI369" s="463"/>
      <c r="AL369" s="207"/>
      <c r="AM369" s="207"/>
      <c r="AN369" s="207"/>
      <c r="AQ369" s="239" t="s">
        <v>1085</v>
      </c>
      <c r="AR369" s="463" t="s">
        <v>634</v>
      </c>
      <c r="AS369" s="463"/>
      <c r="AT369" s="271"/>
      <c r="AU369" s="256"/>
      <c r="AV369" s="254"/>
      <c r="AW369" s="254"/>
      <c r="AX369" s="254"/>
      <c r="AY369" s="252"/>
      <c r="AZ369" s="256"/>
      <c r="BA369" s="254"/>
      <c r="BB369" s="254"/>
      <c r="BC369" s="254"/>
      <c r="BD369" s="220"/>
      <c r="BE369" s="239" t="s">
        <v>1085</v>
      </c>
      <c r="BF369" s="463" t="s">
        <v>634</v>
      </c>
      <c r="BG369" s="463"/>
    </row>
    <row r="370" spans="2:71" ht="15" customHeight="1">
      <c r="B370" s="237" t="s">
        <v>1086</v>
      </c>
      <c r="C370" s="363" t="s">
        <v>636</v>
      </c>
      <c r="D370" s="78" t="s">
        <v>53</v>
      </c>
      <c r="E370" s="190">
        <v>13</v>
      </c>
      <c r="F370" s="214">
        <f>$G$16</f>
        <v>0.0606</v>
      </c>
      <c r="G370" s="197">
        <f>ROUND(E370*F370,2)</f>
        <v>0.79</v>
      </c>
      <c r="H370" s="197">
        <f>ROUND(G370*($A$16+$A$17)/100,2)</f>
        <v>0</v>
      </c>
      <c r="I370" s="198">
        <f>SUM(G370:H370)</f>
        <v>0.79</v>
      </c>
      <c r="J370" s="257">
        <v>22</v>
      </c>
      <c r="K370" s="214">
        <f>$G$19</f>
        <v>0.0482</v>
      </c>
      <c r="L370" s="197">
        <f>ROUND(J370*K370,2)</f>
        <v>1.06</v>
      </c>
      <c r="M370" s="197">
        <f>ROUND(L370*($A$16+$A$17)/100,2)</f>
        <v>0</v>
      </c>
      <c r="N370" s="198">
        <f>SUM(L370:M370)</f>
        <v>1.06</v>
      </c>
      <c r="O370" s="199">
        <f>SUM(I370,N370)</f>
        <v>1.85</v>
      </c>
      <c r="P370" s="237" t="s">
        <v>1086</v>
      </c>
      <c r="Q370" s="438" t="s">
        <v>636</v>
      </c>
      <c r="R370" s="438"/>
      <c r="T370" t="s">
        <v>54</v>
      </c>
      <c r="U370" s="200">
        <f>O370</f>
        <v>1.85</v>
      </c>
      <c r="V370" s="200">
        <f>ROUND(U370*$S$19,2)</f>
        <v>0.19</v>
      </c>
      <c r="W370" s="197">
        <f>ROUND(SUM(U370:V370)*$AA$19,2)</f>
        <v>0.69</v>
      </c>
      <c r="X370" s="197">
        <f>ROUND(SUM(U370:V370)*$AA$21,2)</f>
        <v>0</v>
      </c>
      <c r="Y370" s="197">
        <f>ROUND(SUM(U370:V370)*$AA$20,2)</f>
        <v>0.03</v>
      </c>
      <c r="Z370" s="201">
        <f>ROUND(U370*$S$20,2)</f>
        <v>2.03</v>
      </c>
      <c r="AA370" s="202">
        <f>SUM(U370:Z370)</f>
        <v>4.789999999999999</v>
      </c>
      <c r="AB370" s="203">
        <f>ROUND(AA370*$S$21,2)</f>
        <v>1.44</v>
      </c>
      <c r="AC370" s="204">
        <f>SUM(AA370:AB370)</f>
        <v>6.229999999999999</v>
      </c>
      <c r="AD370" s="205">
        <f>ROUND(AC370*$AD$19/95,2)</f>
        <v>0.33</v>
      </c>
      <c r="AE370" s="206">
        <f>SUM(AC370:AD370)</f>
        <v>6.559999999999999</v>
      </c>
      <c r="AG370" s="237" t="s">
        <v>1086</v>
      </c>
      <c r="AH370" s="438" t="s">
        <v>636</v>
      </c>
      <c r="AI370" s="438"/>
      <c r="AL370" s="207">
        <f>AE370</f>
        <v>6.559999999999999</v>
      </c>
      <c r="AM370" s="207"/>
      <c r="AN370" s="207">
        <f>BS370</f>
        <v>6.559999999999999</v>
      </c>
      <c r="AQ370" s="237" t="s">
        <v>1086</v>
      </c>
      <c r="AR370" s="438" t="s">
        <v>636</v>
      </c>
      <c r="AS370" s="438"/>
      <c r="AT370" s="271">
        <v>13</v>
      </c>
      <c r="AU370" s="214">
        <f t="shared" si="403"/>
        <v>0.0606</v>
      </c>
      <c r="AV370" s="269">
        <f>ROUND(AT370*AU370,2)</f>
        <v>0.79</v>
      </c>
      <c r="AW370" s="269">
        <f>ROUND(AV370*($A$16+$A$17)/100,2)</f>
        <v>0</v>
      </c>
      <c r="AX370" s="198">
        <f>SUM(AV370:AW370)</f>
        <v>0.79</v>
      </c>
      <c r="AY370" s="29">
        <v>22</v>
      </c>
      <c r="AZ370" s="214">
        <f t="shared" si="404"/>
        <v>0.0482</v>
      </c>
      <c r="BA370" s="269">
        <f>ROUND(AY370*AZ370,2)</f>
        <v>1.06</v>
      </c>
      <c r="BB370" s="269">
        <f>ROUND(BA370*($A$16+$A$17)/100,2)</f>
        <v>0</v>
      </c>
      <c r="BC370" s="198">
        <f>SUM(BA370:BB370)</f>
        <v>1.06</v>
      </c>
      <c r="BD370" s="199">
        <f>SUM(AX370,BC370)</f>
        <v>1.85</v>
      </c>
      <c r="BE370" s="237" t="s">
        <v>1086</v>
      </c>
      <c r="BF370" s="438" t="s">
        <v>636</v>
      </c>
      <c r="BG370" s="438"/>
      <c r="BI370" s="200">
        <f>BD370</f>
        <v>1.85</v>
      </c>
      <c r="BJ370" s="200">
        <f>ROUND(BI370*$S$19,2)</f>
        <v>0.19</v>
      </c>
      <c r="BK370" s="197">
        <f>ROUND(SUM(BI370:BJ370)*$AA$19,2)</f>
        <v>0.69</v>
      </c>
      <c r="BL370" s="197">
        <f>ROUND(SUM(BI370:BJ370)*$AA$21,2)</f>
        <v>0</v>
      </c>
      <c r="BM370" s="197">
        <f>ROUND(SUM(BI370:BJ370)*$AA$20,2)</f>
        <v>0.03</v>
      </c>
      <c r="BN370" s="201">
        <f>ROUND(BI370*$S$20,2)</f>
        <v>2.03</v>
      </c>
      <c r="BO370" s="202">
        <f>SUM(BI370:BN370)</f>
        <v>4.789999999999999</v>
      </c>
      <c r="BP370" s="203">
        <f>ROUND(BO370*$S$21,2)</f>
        <v>1.44</v>
      </c>
      <c r="BQ370" s="204">
        <f>SUM(BO370:BP370)</f>
        <v>6.229999999999999</v>
      </c>
      <c r="BR370" s="205">
        <f>ROUND(BQ370*$AD$19/95,2)</f>
        <v>0.33</v>
      </c>
      <c r="BS370" s="206">
        <f>SUM(BQ370:BR370)</f>
        <v>6.559999999999999</v>
      </c>
    </row>
    <row r="371" spans="2:59" ht="27.75" customHeight="1">
      <c r="B371" s="239" t="s">
        <v>1088</v>
      </c>
      <c r="C371" s="402" t="s">
        <v>1090</v>
      </c>
      <c r="D371" s="401"/>
      <c r="E371" s="255"/>
      <c r="F371" s="256"/>
      <c r="G371" s="253"/>
      <c r="H371" s="253"/>
      <c r="I371" s="254"/>
      <c r="J371" s="255"/>
      <c r="K371" s="255"/>
      <c r="L371" s="253"/>
      <c r="M371" s="253"/>
      <c r="N371" s="254"/>
      <c r="O371" s="220"/>
      <c r="P371" s="239" t="s">
        <v>1088</v>
      </c>
      <c r="Q371" s="463" t="s">
        <v>1090</v>
      </c>
      <c r="R371" s="463"/>
      <c r="U371" s="253"/>
      <c r="V371" s="253"/>
      <c r="W371" s="253"/>
      <c r="X371" s="253"/>
      <c r="Y371" s="253"/>
      <c r="Z371" s="253"/>
      <c r="AA371" s="253"/>
      <c r="AB371" s="253"/>
      <c r="AC371" s="253"/>
      <c r="AD371" s="253"/>
      <c r="AE371" s="220"/>
      <c r="AG371" s="239" t="s">
        <v>1088</v>
      </c>
      <c r="AH371" s="463" t="s">
        <v>1090</v>
      </c>
      <c r="AI371" s="463"/>
      <c r="AL371" s="207"/>
      <c r="AM371" s="207"/>
      <c r="AN371" s="207"/>
      <c r="AQ371" s="239" t="s">
        <v>1088</v>
      </c>
      <c r="AR371" s="463" t="s">
        <v>1090</v>
      </c>
      <c r="AS371" s="463"/>
      <c r="AT371" s="271"/>
      <c r="AU371" s="256"/>
      <c r="AV371" s="254"/>
      <c r="AW371" s="254"/>
      <c r="AX371" s="254"/>
      <c r="AY371" s="252"/>
      <c r="AZ371" s="256"/>
      <c r="BA371" s="254"/>
      <c r="BB371" s="254"/>
      <c r="BC371" s="254"/>
      <c r="BD371" s="220"/>
      <c r="BE371" s="239" t="s">
        <v>1088</v>
      </c>
      <c r="BF371" s="463" t="s">
        <v>1090</v>
      </c>
      <c r="BG371" s="463"/>
    </row>
    <row r="372" spans="2:71" ht="25.5" customHeight="1">
      <c r="B372" s="237" t="s">
        <v>1087</v>
      </c>
      <c r="C372" s="363" t="s">
        <v>655</v>
      </c>
      <c r="D372" s="78" t="s">
        <v>53</v>
      </c>
      <c r="E372" s="190">
        <v>4</v>
      </c>
      <c r="F372" s="214">
        <f>$G$16</f>
        <v>0.0606</v>
      </c>
      <c r="G372" s="197">
        <f>ROUND(E372*F372,2)</f>
        <v>0.24</v>
      </c>
      <c r="H372" s="197">
        <f>ROUND(G372*($A$16+$A$17)/100,2)</f>
        <v>0</v>
      </c>
      <c r="I372" s="198">
        <f>SUM(G372:H372)</f>
        <v>0.24</v>
      </c>
      <c r="J372" s="257">
        <v>8</v>
      </c>
      <c r="K372" s="214">
        <f>$G$19</f>
        <v>0.0482</v>
      </c>
      <c r="L372" s="197">
        <f>ROUND(J372*K372,2)</f>
        <v>0.39</v>
      </c>
      <c r="M372" s="197">
        <f>ROUND(L372*($A$16+$A$17)/100,2)</f>
        <v>0</v>
      </c>
      <c r="N372" s="198">
        <f>SUM(L372:M372)</f>
        <v>0.39</v>
      </c>
      <c r="O372" s="199">
        <f>SUM(I372,N372)</f>
        <v>0.63</v>
      </c>
      <c r="P372" s="237" t="s">
        <v>1087</v>
      </c>
      <c r="Q372" s="438" t="s">
        <v>655</v>
      </c>
      <c r="R372" s="438"/>
      <c r="T372" t="s">
        <v>54</v>
      </c>
      <c r="U372" s="200">
        <f>O372</f>
        <v>0.63</v>
      </c>
      <c r="V372" s="200">
        <f>ROUND(U372*$S$19,2)</f>
        <v>0.07</v>
      </c>
      <c r="W372" s="197">
        <f>ROUND(SUM(U372:V372)*$AA$19,2)</f>
        <v>0.24</v>
      </c>
      <c r="X372" s="197">
        <f>ROUND(SUM(U372:V372)*$AA$21,2)</f>
        <v>0</v>
      </c>
      <c r="Y372" s="197">
        <f>ROUND(SUM(U372:V372)*$AA$20,2)</f>
        <v>0.01</v>
      </c>
      <c r="Z372" s="201">
        <f>ROUND(U372*$S$20,2)</f>
        <v>0.69</v>
      </c>
      <c r="AA372" s="202">
        <f>SUM(U372:Z372)</f>
        <v>1.64</v>
      </c>
      <c r="AB372" s="203">
        <f>ROUND(AA372*$S$21,2)</f>
        <v>0.49</v>
      </c>
      <c r="AC372" s="204">
        <f>SUM(AA372:AB372)</f>
        <v>2.13</v>
      </c>
      <c r="AD372" s="205">
        <f>ROUND(AC372*$AD$19/95,2)</f>
        <v>0.11</v>
      </c>
      <c r="AE372" s="206">
        <f>SUM(AC372:AD372)</f>
        <v>2.2399999999999998</v>
      </c>
      <c r="AG372" s="237" t="s">
        <v>1087</v>
      </c>
      <c r="AH372" s="438" t="s">
        <v>655</v>
      </c>
      <c r="AI372" s="438"/>
      <c r="AL372" s="207">
        <f>AE372</f>
        <v>2.2399999999999998</v>
      </c>
      <c r="AM372" s="207"/>
      <c r="AN372" s="207">
        <f>BS372</f>
        <v>2.2399999999999998</v>
      </c>
      <c r="AQ372" s="237" t="s">
        <v>1087</v>
      </c>
      <c r="AR372" s="438" t="s">
        <v>655</v>
      </c>
      <c r="AS372" s="438"/>
      <c r="AT372" s="271">
        <v>4</v>
      </c>
      <c r="AU372" s="214">
        <f t="shared" si="403"/>
        <v>0.0606</v>
      </c>
      <c r="AV372" s="269">
        <f>ROUND(AT372*AU372,2)</f>
        <v>0.24</v>
      </c>
      <c r="AW372" s="269">
        <f>ROUND(AV372*($A$16+$A$17)/100,2)</f>
        <v>0</v>
      </c>
      <c r="AX372" s="198">
        <f>SUM(AV372:AW372)</f>
        <v>0.24</v>
      </c>
      <c r="AY372" s="29">
        <v>8</v>
      </c>
      <c r="AZ372" s="214">
        <f t="shared" si="404"/>
        <v>0.0482</v>
      </c>
      <c r="BA372" s="269">
        <f>ROUND(AY372*AZ372,2)</f>
        <v>0.39</v>
      </c>
      <c r="BB372" s="269">
        <f>ROUND(BA372*($A$16+$A$17)/100,2)</f>
        <v>0</v>
      </c>
      <c r="BC372" s="198">
        <f>SUM(BA372:BB372)</f>
        <v>0.39</v>
      </c>
      <c r="BD372" s="199">
        <f>SUM(AX372,BC372)</f>
        <v>0.63</v>
      </c>
      <c r="BE372" s="237" t="s">
        <v>1087</v>
      </c>
      <c r="BF372" s="438" t="s">
        <v>655</v>
      </c>
      <c r="BG372" s="438"/>
      <c r="BI372" s="200">
        <f>BD372</f>
        <v>0.63</v>
      </c>
      <c r="BJ372" s="200">
        <f>ROUND(BI372*$S$19,2)</f>
        <v>0.07</v>
      </c>
      <c r="BK372" s="197">
        <f>ROUND(SUM(BI372:BJ372)*$AA$19,2)</f>
        <v>0.24</v>
      </c>
      <c r="BL372" s="197">
        <f>ROUND(SUM(BI372:BJ372)*$AA$21,2)</f>
        <v>0</v>
      </c>
      <c r="BM372" s="197">
        <f>ROUND(SUM(BI372:BJ372)*$AA$20,2)</f>
        <v>0.01</v>
      </c>
      <c r="BN372" s="201">
        <f>ROUND(BI372*$S$20,2)</f>
        <v>0.69</v>
      </c>
      <c r="BO372" s="202">
        <f>SUM(BI372:BN372)</f>
        <v>1.64</v>
      </c>
      <c r="BP372" s="203">
        <f>ROUND(BO372*$S$21,2)</f>
        <v>0.49</v>
      </c>
      <c r="BQ372" s="204">
        <f>SUM(BO372:BP372)</f>
        <v>2.13</v>
      </c>
      <c r="BR372" s="205">
        <f>ROUND(BQ372*$AD$19/95,2)</f>
        <v>0.11</v>
      </c>
      <c r="BS372" s="206">
        <f>SUM(BQ372:BR372)</f>
        <v>2.2399999999999998</v>
      </c>
    </row>
    <row r="373" spans="2:71" ht="29.25" customHeight="1">
      <c r="B373" s="237" t="s">
        <v>1089</v>
      </c>
      <c r="C373" s="363" t="s">
        <v>559</v>
      </c>
      <c r="D373" s="78" t="s">
        <v>53</v>
      </c>
      <c r="E373" s="190">
        <v>7</v>
      </c>
      <c r="F373" s="214">
        <f>$G$16</f>
        <v>0.0606</v>
      </c>
      <c r="G373" s="197">
        <f>ROUND(E373*F373,2)</f>
        <v>0.42</v>
      </c>
      <c r="H373" s="197">
        <f>ROUND(G373*($A$16+$A$17)/100,2)</f>
        <v>0</v>
      </c>
      <c r="I373" s="198">
        <f>SUM(G373:H373)</f>
        <v>0.42</v>
      </c>
      <c r="J373" s="257">
        <v>13</v>
      </c>
      <c r="K373" s="214">
        <f>$G$19</f>
        <v>0.0482</v>
      </c>
      <c r="L373" s="197">
        <f>ROUND(J373*K373,2)</f>
        <v>0.63</v>
      </c>
      <c r="M373" s="197">
        <f>ROUND(L373*($A$16+$A$17)/100,2)</f>
        <v>0</v>
      </c>
      <c r="N373" s="198">
        <f>SUM(L373:M373)</f>
        <v>0.63</v>
      </c>
      <c r="O373" s="199">
        <f>SUM(I373,N373)</f>
        <v>1.05</v>
      </c>
      <c r="P373" s="237" t="s">
        <v>1089</v>
      </c>
      <c r="Q373" s="438" t="s">
        <v>559</v>
      </c>
      <c r="R373" s="438"/>
      <c r="T373" t="s">
        <v>54</v>
      </c>
      <c r="U373" s="200">
        <f>O373</f>
        <v>1.05</v>
      </c>
      <c r="V373" s="200">
        <f>ROUND(U373*$S$19,2)</f>
        <v>0.11</v>
      </c>
      <c r="W373" s="197">
        <f>ROUND(SUM(U373:V373)*$AA$19,2)</f>
        <v>0.39</v>
      </c>
      <c r="X373" s="197">
        <f>ROUND(SUM(U373:V373)*$AA$21,2)</f>
        <v>0</v>
      </c>
      <c r="Y373" s="197">
        <f>ROUND(SUM(U373:V373)*$AA$20,2)</f>
        <v>0.02</v>
      </c>
      <c r="Z373" s="201">
        <f>ROUND(U373*$S$20,2)</f>
        <v>1.15</v>
      </c>
      <c r="AA373" s="202">
        <f>SUM(U373:Z373)</f>
        <v>2.72</v>
      </c>
      <c r="AB373" s="203">
        <f>ROUND(AA373*$S$21,2)</f>
        <v>0.82</v>
      </c>
      <c r="AC373" s="204">
        <f>SUM(AA373:AB373)</f>
        <v>3.54</v>
      </c>
      <c r="AD373" s="205">
        <f>ROUND(AC373*$AD$19/95,2)</f>
        <v>0.19</v>
      </c>
      <c r="AE373" s="206">
        <f>SUM(AC373:AD373)</f>
        <v>3.73</v>
      </c>
      <c r="AG373" s="237" t="s">
        <v>1089</v>
      </c>
      <c r="AH373" s="438" t="s">
        <v>559</v>
      </c>
      <c r="AI373" s="438"/>
      <c r="AL373" s="207">
        <f>AE373</f>
        <v>3.73</v>
      </c>
      <c r="AM373" s="207"/>
      <c r="AN373" s="207">
        <f>BS373</f>
        <v>3.73</v>
      </c>
      <c r="AQ373" s="237" t="s">
        <v>1089</v>
      </c>
      <c r="AR373" s="438" t="s">
        <v>559</v>
      </c>
      <c r="AS373" s="438"/>
      <c r="AT373" s="271">
        <v>7</v>
      </c>
      <c r="AU373" s="214">
        <f t="shared" si="403"/>
        <v>0.0606</v>
      </c>
      <c r="AV373" s="269">
        <f>ROUND(AT373*AU373,2)</f>
        <v>0.42</v>
      </c>
      <c r="AW373" s="269">
        <f>ROUND(AV373*($A$16+$A$17)/100,2)</f>
        <v>0</v>
      </c>
      <c r="AX373" s="198">
        <f>SUM(AV373:AW373)</f>
        <v>0.42</v>
      </c>
      <c r="AY373" s="29">
        <v>13</v>
      </c>
      <c r="AZ373" s="214">
        <f t="shared" si="404"/>
        <v>0.0482</v>
      </c>
      <c r="BA373" s="269">
        <f>ROUND(AY373*AZ373,2)</f>
        <v>0.63</v>
      </c>
      <c r="BB373" s="269">
        <f>ROUND(BA373*($A$16+$A$17)/100,2)</f>
        <v>0</v>
      </c>
      <c r="BC373" s="198">
        <f>SUM(BA373:BB373)</f>
        <v>0.63</v>
      </c>
      <c r="BD373" s="199">
        <f>SUM(AX373,BC373)</f>
        <v>1.05</v>
      </c>
      <c r="BE373" s="237" t="s">
        <v>1089</v>
      </c>
      <c r="BF373" s="438" t="s">
        <v>559</v>
      </c>
      <c r="BG373" s="438"/>
      <c r="BI373" s="200">
        <f>BD373</f>
        <v>1.05</v>
      </c>
      <c r="BJ373" s="200">
        <f>ROUND(BI373*$S$19,2)</f>
        <v>0.11</v>
      </c>
      <c r="BK373" s="197">
        <f>ROUND(SUM(BI373:BJ373)*$AA$19,2)</f>
        <v>0.39</v>
      </c>
      <c r="BL373" s="197">
        <f>ROUND(SUM(BI373:BJ373)*$AA$21,2)</f>
        <v>0</v>
      </c>
      <c r="BM373" s="197">
        <f>ROUND(SUM(BI373:BJ373)*$AA$20,2)</f>
        <v>0.02</v>
      </c>
      <c r="BN373" s="201">
        <f>ROUND(BI373*$S$20,2)</f>
        <v>1.15</v>
      </c>
      <c r="BO373" s="202">
        <f>SUM(BI373:BN373)</f>
        <v>2.72</v>
      </c>
      <c r="BP373" s="203">
        <f>ROUND(BO373*$S$21,2)</f>
        <v>0.82</v>
      </c>
      <c r="BQ373" s="204">
        <f>SUM(BO373:BP373)</f>
        <v>3.54</v>
      </c>
      <c r="BR373" s="205">
        <f>ROUND(BQ373*$AD$19/95,2)</f>
        <v>0.19</v>
      </c>
      <c r="BS373" s="206">
        <f>SUM(BQ373:BR373)</f>
        <v>3.73</v>
      </c>
    </row>
    <row r="374" spans="2:59" ht="18" customHeight="1">
      <c r="B374" s="239" t="s">
        <v>1092</v>
      </c>
      <c r="C374" s="402" t="s">
        <v>634</v>
      </c>
      <c r="D374" s="401"/>
      <c r="E374" s="255"/>
      <c r="F374" s="256"/>
      <c r="G374" s="253"/>
      <c r="H374" s="253"/>
      <c r="I374" s="254"/>
      <c r="J374" s="255"/>
      <c r="K374" s="255"/>
      <c r="L374" s="253"/>
      <c r="M374" s="253"/>
      <c r="N374" s="254"/>
      <c r="O374" s="220"/>
      <c r="P374" s="239" t="s">
        <v>1092</v>
      </c>
      <c r="Q374" s="463" t="s">
        <v>634</v>
      </c>
      <c r="R374" s="463"/>
      <c r="U374" s="253"/>
      <c r="V374" s="253"/>
      <c r="W374" s="253"/>
      <c r="X374" s="253"/>
      <c r="Y374" s="253"/>
      <c r="Z374" s="253"/>
      <c r="AA374" s="253"/>
      <c r="AB374" s="253"/>
      <c r="AC374" s="253"/>
      <c r="AD374" s="253"/>
      <c r="AE374" s="220"/>
      <c r="AG374" s="239" t="s">
        <v>1092</v>
      </c>
      <c r="AH374" s="463" t="s">
        <v>634</v>
      </c>
      <c r="AI374" s="463"/>
      <c r="AL374" s="207"/>
      <c r="AM374" s="207"/>
      <c r="AN374" s="207"/>
      <c r="AQ374" s="239" t="s">
        <v>1092</v>
      </c>
      <c r="AR374" s="463" t="s">
        <v>634</v>
      </c>
      <c r="AS374" s="463"/>
      <c r="AT374" s="271"/>
      <c r="AU374" s="256"/>
      <c r="AV374" s="254"/>
      <c r="AW374" s="254"/>
      <c r="AX374" s="254"/>
      <c r="AY374" s="252"/>
      <c r="AZ374" s="256"/>
      <c r="BA374" s="254"/>
      <c r="BB374" s="254"/>
      <c r="BC374" s="254"/>
      <c r="BD374" s="220"/>
      <c r="BE374" s="239" t="s">
        <v>1092</v>
      </c>
      <c r="BF374" s="463" t="s">
        <v>634</v>
      </c>
      <c r="BG374" s="463"/>
    </row>
    <row r="375" spans="2:71" ht="15" customHeight="1">
      <c r="B375" s="237" t="s">
        <v>1093</v>
      </c>
      <c r="C375" s="363" t="s">
        <v>636</v>
      </c>
      <c r="D375" s="78" t="s">
        <v>53</v>
      </c>
      <c r="E375" s="190">
        <v>12</v>
      </c>
      <c r="F375" s="214">
        <f>$G$16</f>
        <v>0.0606</v>
      </c>
      <c r="G375" s="197">
        <f>ROUND(E375*F375,2)</f>
        <v>0.73</v>
      </c>
      <c r="H375" s="197">
        <f>ROUND(G375*($A$16+$A$17)/100,2)</f>
        <v>0</v>
      </c>
      <c r="I375" s="198">
        <f>SUM(G375:H375)</f>
        <v>0.73</v>
      </c>
      <c r="J375" s="257">
        <v>20</v>
      </c>
      <c r="K375" s="214">
        <f>$G$19</f>
        <v>0.0482</v>
      </c>
      <c r="L375" s="197">
        <f>ROUND(J375*K375,2)</f>
        <v>0.96</v>
      </c>
      <c r="M375" s="197">
        <f>ROUND(L375*($A$16+$A$17)/100,2)</f>
        <v>0</v>
      </c>
      <c r="N375" s="198">
        <f>SUM(L375:M375)</f>
        <v>0.96</v>
      </c>
      <c r="O375" s="199">
        <f>SUM(I375,N375)</f>
        <v>1.69</v>
      </c>
      <c r="P375" s="237" t="s">
        <v>1093</v>
      </c>
      <c r="Q375" s="438" t="s">
        <v>636</v>
      </c>
      <c r="R375" s="438"/>
      <c r="T375" t="s">
        <v>54</v>
      </c>
      <c r="U375" s="200">
        <f>O375</f>
        <v>1.69</v>
      </c>
      <c r="V375" s="200">
        <f>ROUND(U375*$S$19,2)</f>
        <v>0.17</v>
      </c>
      <c r="W375" s="197">
        <f>ROUND(SUM(U375:V375)*$AA$19,2)</f>
        <v>0.63</v>
      </c>
      <c r="X375" s="197">
        <f>ROUND(SUM(U375:V375)*$AA$21,2)</f>
        <v>0</v>
      </c>
      <c r="Y375" s="197">
        <f>ROUND(SUM(U375:V375)*$AA$20,2)</f>
        <v>0.03</v>
      </c>
      <c r="Z375" s="201">
        <f>ROUND(U375*$S$20,2)</f>
        <v>1.86</v>
      </c>
      <c r="AA375" s="202">
        <f>SUM(U375:Z375)</f>
        <v>4.38</v>
      </c>
      <c r="AB375" s="203">
        <f>ROUND(AA375*$S$21,2)</f>
        <v>1.31</v>
      </c>
      <c r="AC375" s="204">
        <f>SUM(AA375:AB375)</f>
        <v>5.6899999999999995</v>
      </c>
      <c r="AD375" s="205">
        <f>ROUND(AC375*$AD$19/95,2)</f>
        <v>0.3</v>
      </c>
      <c r="AE375" s="206">
        <f>SUM(AC375:AD375)</f>
        <v>5.989999999999999</v>
      </c>
      <c r="AG375" s="237" t="s">
        <v>1093</v>
      </c>
      <c r="AH375" s="438" t="s">
        <v>636</v>
      </c>
      <c r="AI375" s="438"/>
      <c r="AL375" s="207">
        <f>AE375</f>
        <v>5.989999999999999</v>
      </c>
      <c r="AM375" s="207"/>
      <c r="AN375" s="207">
        <f>BS375</f>
        <v>5.989999999999999</v>
      </c>
      <c r="AQ375" s="237" t="s">
        <v>1093</v>
      </c>
      <c r="AR375" s="438" t="s">
        <v>636</v>
      </c>
      <c r="AS375" s="438"/>
      <c r="AT375" s="271">
        <v>12</v>
      </c>
      <c r="AU375" s="214">
        <f t="shared" si="403"/>
        <v>0.0606</v>
      </c>
      <c r="AV375" s="269">
        <f>ROUND(AT375*AU375,2)</f>
        <v>0.73</v>
      </c>
      <c r="AW375" s="269">
        <f>ROUND(AV375*($A$16+$A$17)/100,2)</f>
        <v>0</v>
      </c>
      <c r="AX375" s="198">
        <f>SUM(AV375:AW375)</f>
        <v>0.73</v>
      </c>
      <c r="AY375" s="29">
        <v>20</v>
      </c>
      <c r="AZ375" s="214">
        <f t="shared" si="404"/>
        <v>0.0482</v>
      </c>
      <c r="BA375" s="269">
        <f>ROUND(AY375*AZ375,2)</f>
        <v>0.96</v>
      </c>
      <c r="BB375" s="269">
        <f>ROUND(BA375*($A$16+$A$17)/100,2)</f>
        <v>0</v>
      </c>
      <c r="BC375" s="198">
        <f>SUM(BA375:BB375)</f>
        <v>0.96</v>
      </c>
      <c r="BD375" s="199">
        <f>SUM(AX375,BC375)</f>
        <v>1.69</v>
      </c>
      <c r="BE375" s="237" t="s">
        <v>1093</v>
      </c>
      <c r="BF375" s="438" t="s">
        <v>636</v>
      </c>
      <c r="BG375" s="438"/>
      <c r="BI375" s="200">
        <f>BD375</f>
        <v>1.69</v>
      </c>
      <c r="BJ375" s="200">
        <f>ROUND(BI375*$S$19,2)</f>
        <v>0.17</v>
      </c>
      <c r="BK375" s="197">
        <f>ROUND(SUM(BI375:BJ375)*$AA$19,2)</f>
        <v>0.63</v>
      </c>
      <c r="BL375" s="197">
        <f>ROUND(SUM(BI375:BJ375)*$AA$21,2)</f>
        <v>0</v>
      </c>
      <c r="BM375" s="197">
        <f>ROUND(SUM(BI375:BJ375)*$AA$20,2)</f>
        <v>0.03</v>
      </c>
      <c r="BN375" s="201">
        <f>ROUND(BI375*$S$20,2)</f>
        <v>1.86</v>
      </c>
      <c r="BO375" s="202">
        <f>SUM(BI375:BN375)</f>
        <v>4.38</v>
      </c>
      <c r="BP375" s="203">
        <f>ROUND(BO375*$S$21,2)</f>
        <v>1.31</v>
      </c>
      <c r="BQ375" s="204">
        <f>SUM(BO375:BP375)</f>
        <v>5.6899999999999995</v>
      </c>
      <c r="BR375" s="205">
        <f>ROUND(BQ375*$AD$19/95,2)</f>
        <v>0.3</v>
      </c>
      <c r="BS375" s="206">
        <f>SUM(BQ375:BR375)</f>
        <v>5.989999999999999</v>
      </c>
    </row>
    <row r="376" spans="2:59" ht="51" customHeight="1">
      <c r="B376" s="239" t="s">
        <v>656</v>
      </c>
      <c r="C376" s="240" t="s">
        <v>657</v>
      </c>
      <c r="D376" s="251"/>
      <c r="E376" s="255"/>
      <c r="F376" s="256"/>
      <c r="G376" s="253"/>
      <c r="H376" s="253"/>
      <c r="I376" s="254"/>
      <c r="J376" s="255"/>
      <c r="K376" s="255"/>
      <c r="L376" s="253"/>
      <c r="M376" s="253"/>
      <c r="N376" s="254"/>
      <c r="O376" s="220"/>
      <c r="P376" s="239" t="s">
        <v>656</v>
      </c>
      <c r="Q376" s="437" t="s">
        <v>657</v>
      </c>
      <c r="R376" s="437"/>
      <c r="U376" s="253"/>
      <c r="V376" s="253"/>
      <c r="W376" s="253"/>
      <c r="X376" s="253"/>
      <c r="Y376" s="253"/>
      <c r="Z376" s="253"/>
      <c r="AA376" s="253"/>
      <c r="AB376" s="253"/>
      <c r="AC376" s="253"/>
      <c r="AD376" s="253"/>
      <c r="AE376" s="220"/>
      <c r="AG376" s="239" t="s">
        <v>656</v>
      </c>
      <c r="AH376" s="437" t="s">
        <v>657</v>
      </c>
      <c r="AI376" s="437"/>
      <c r="AL376" s="207"/>
      <c r="AM376" s="207"/>
      <c r="AN376" s="207"/>
      <c r="AQ376" s="239" t="s">
        <v>656</v>
      </c>
      <c r="AR376" s="437" t="s">
        <v>657</v>
      </c>
      <c r="AS376" s="437"/>
      <c r="AT376" s="271"/>
      <c r="AU376" s="256"/>
      <c r="AV376" s="254"/>
      <c r="AW376" s="254"/>
      <c r="AX376" s="254"/>
      <c r="AY376" s="252"/>
      <c r="AZ376" s="256"/>
      <c r="BA376" s="254"/>
      <c r="BB376" s="254"/>
      <c r="BC376" s="254"/>
      <c r="BD376" s="220"/>
      <c r="BE376" s="239" t="s">
        <v>656</v>
      </c>
      <c r="BF376" s="437" t="s">
        <v>657</v>
      </c>
      <c r="BG376" s="437"/>
    </row>
    <row r="377" spans="2:71" ht="25.5">
      <c r="B377" s="237" t="s">
        <v>658</v>
      </c>
      <c r="C377" s="238" t="s">
        <v>655</v>
      </c>
      <c r="D377" s="78" t="s">
        <v>53</v>
      </c>
      <c r="E377" s="190">
        <v>2</v>
      </c>
      <c r="F377" s="214">
        <f>$G$16</f>
        <v>0.0606</v>
      </c>
      <c r="G377" s="197">
        <f>ROUND(E377*F377,2)</f>
        <v>0.12</v>
      </c>
      <c r="H377" s="197">
        <f>ROUND(G377*($A$16+$A$17)/100,2)</f>
        <v>0</v>
      </c>
      <c r="I377" s="198">
        <f>SUM(G377:H377)</f>
        <v>0.12</v>
      </c>
      <c r="J377" s="257">
        <v>6</v>
      </c>
      <c r="K377" s="214">
        <f>$G$19</f>
        <v>0.0482</v>
      </c>
      <c r="L377" s="197">
        <f>ROUND(J377*K377,2)</f>
        <v>0.29</v>
      </c>
      <c r="M377" s="197">
        <f>ROUND(L377*($A$16+$A$17)/100,2)</f>
        <v>0</v>
      </c>
      <c r="N377" s="198">
        <f>SUM(L377:M377)</f>
        <v>0.29</v>
      </c>
      <c r="O377" s="199">
        <f>SUM(I377,N377)</f>
        <v>0.41</v>
      </c>
      <c r="P377" s="237" t="s">
        <v>658</v>
      </c>
      <c r="Q377" s="439" t="s">
        <v>655</v>
      </c>
      <c r="R377" s="439"/>
      <c r="T377" t="s">
        <v>54</v>
      </c>
      <c r="U377" s="200">
        <f aca="true" t="shared" si="405" ref="U377:U394">O377</f>
        <v>0.41</v>
      </c>
      <c r="V377" s="200">
        <f aca="true" t="shared" si="406" ref="V377:V394">ROUND(U377*$S$19,2)</f>
        <v>0.04</v>
      </c>
      <c r="W377" s="197">
        <f aca="true" t="shared" si="407" ref="W377:W394">ROUND(SUM(U377:V377)*$AA$19,2)</f>
        <v>0.15</v>
      </c>
      <c r="X377" s="197">
        <f aca="true" t="shared" si="408" ref="X377:X394">ROUND(SUM(U377:V377)*$AA$21,2)</f>
        <v>0</v>
      </c>
      <c r="Y377" s="197">
        <f aca="true" t="shared" si="409" ref="Y377:Y394">ROUND(SUM(U377:V377)*$AA$20,2)</f>
        <v>0.01</v>
      </c>
      <c r="Z377" s="201">
        <f aca="true" t="shared" si="410" ref="Z377:Z394">ROUND(U377*$S$20,2)</f>
        <v>0.45</v>
      </c>
      <c r="AA377" s="202">
        <f aca="true" t="shared" si="411" ref="AA377:AA394">SUM(U377:Z377)</f>
        <v>1.06</v>
      </c>
      <c r="AB377" s="203">
        <f aca="true" t="shared" si="412" ref="AB377:AB394">ROUND(AA377*$S$21,2)</f>
        <v>0.32</v>
      </c>
      <c r="AC377" s="204">
        <f aca="true" t="shared" si="413" ref="AC377:AC394">SUM(AA377:AB377)</f>
        <v>1.3800000000000001</v>
      </c>
      <c r="AD377" s="205">
        <f aca="true" t="shared" si="414" ref="AD377:AD394">ROUND(AC377*$AD$19/95,2)</f>
        <v>0.07</v>
      </c>
      <c r="AE377" s="206">
        <f aca="true" t="shared" si="415" ref="AE377:AE394">SUM(AC377:AD377)</f>
        <v>1.4500000000000002</v>
      </c>
      <c r="AG377" s="237" t="s">
        <v>658</v>
      </c>
      <c r="AH377" s="439" t="s">
        <v>655</v>
      </c>
      <c r="AI377" s="439"/>
      <c r="AL377" s="207">
        <f aca="true" t="shared" si="416" ref="AL377:AL394">AE377</f>
        <v>1.4500000000000002</v>
      </c>
      <c r="AM377" s="207"/>
      <c r="AN377" s="207">
        <f aca="true" t="shared" si="417" ref="AN377:AN394">BS377</f>
        <v>1.4500000000000002</v>
      </c>
      <c r="AQ377" s="237" t="s">
        <v>658</v>
      </c>
      <c r="AR377" s="439" t="s">
        <v>655</v>
      </c>
      <c r="AS377" s="439"/>
      <c r="AT377" s="271">
        <v>2</v>
      </c>
      <c r="AU377" s="214">
        <f t="shared" si="403"/>
        <v>0.0606</v>
      </c>
      <c r="AV377" s="269">
        <f>ROUND(AT377*AU377,2)</f>
        <v>0.12</v>
      </c>
      <c r="AW377" s="269">
        <f>ROUND(AV377*($A$16+$A$17)/100,2)</f>
        <v>0</v>
      </c>
      <c r="AX377" s="198">
        <f>SUM(AV377:AW377)</f>
        <v>0.12</v>
      </c>
      <c r="AY377" s="29">
        <v>6</v>
      </c>
      <c r="AZ377" s="214">
        <f t="shared" si="404"/>
        <v>0.0482</v>
      </c>
      <c r="BA377" s="269">
        <f>ROUND(AY377*AZ377,2)</f>
        <v>0.29</v>
      </c>
      <c r="BB377" s="269">
        <f>ROUND(BA377*($A$16+$A$17)/100,2)</f>
        <v>0</v>
      </c>
      <c r="BC377" s="198">
        <f>SUM(BA377:BB377)</f>
        <v>0.29</v>
      </c>
      <c r="BD377" s="199">
        <f>SUM(AX377,BC377)</f>
        <v>0.41</v>
      </c>
      <c r="BE377" s="237" t="s">
        <v>658</v>
      </c>
      <c r="BF377" s="439" t="s">
        <v>655</v>
      </c>
      <c r="BG377" s="439"/>
      <c r="BI377" s="200">
        <f>BD377</f>
        <v>0.41</v>
      </c>
      <c r="BJ377" s="200">
        <f>ROUND(BI377*$S$19,2)</f>
        <v>0.04</v>
      </c>
      <c r="BK377" s="197">
        <f>ROUND(SUM(BI377:BJ377)*$AA$19,2)</f>
        <v>0.15</v>
      </c>
      <c r="BL377" s="197">
        <f>ROUND(SUM(BI377:BJ377)*$AA$21,2)</f>
        <v>0</v>
      </c>
      <c r="BM377" s="197">
        <f>ROUND(SUM(BI377:BJ377)*$AA$20,2)</f>
        <v>0.01</v>
      </c>
      <c r="BN377" s="201">
        <f>ROUND(BI377*$S$20,2)</f>
        <v>0.45</v>
      </c>
      <c r="BO377" s="202">
        <f>SUM(BI377:BN377)</f>
        <v>1.06</v>
      </c>
      <c r="BP377" s="203">
        <f>ROUND(BO377*$S$21,2)</f>
        <v>0.32</v>
      </c>
      <c r="BQ377" s="204">
        <f>SUM(BO377:BP377)</f>
        <v>1.3800000000000001</v>
      </c>
      <c r="BR377" s="205">
        <f>ROUND(BQ377*$AD$19/95,2)</f>
        <v>0.07</v>
      </c>
      <c r="BS377" s="206">
        <f>SUM(BQ377:BR377)</f>
        <v>1.4500000000000002</v>
      </c>
    </row>
    <row r="378" spans="2:59" ht="38.25" customHeight="1">
      <c r="B378" s="239" t="s">
        <v>659</v>
      </c>
      <c r="C378" s="240" t="s">
        <v>642</v>
      </c>
      <c r="D378" s="251"/>
      <c r="E378" s="255"/>
      <c r="F378" s="256"/>
      <c r="G378" s="253"/>
      <c r="H378" s="253"/>
      <c r="I378" s="254"/>
      <c r="J378" s="255"/>
      <c r="K378" s="255"/>
      <c r="L378" s="253"/>
      <c r="M378" s="253"/>
      <c r="N378" s="254"/>
      <c r="O378" s="220"/>
      <c r="P378" s="239" t="s">
        <v>659</v>
      </c>
      <c r="Q378" s="437" t="s">
        <v>642</v>
      </c>
      <c r="R378" s="437"/>
      <c r="U378" s="253"/>
      <c r="V378" s="253"/>
      <c r="W378" s="253"/>
      <c r="X378" s="253"/>
      <c r="Y378" s="253"/>
      <c r="Z378" s="253"/>
      <c r="AA378" s="253"/>
      <c r="AB378" s="253"/>
      <c r="AC378" s="253"/>
      <c r="AD378" s="253"/>
      <c r="AE378" s="220"/>
      <c r="AG378" s="239" t="s">
        <v>659</v>
      </c>
      <c r="AH378" s="437" t="s">
        <v>642</v>
      </c>
      <c r="AI378" s="437"/>
      <c r="AL378" s="207"/>
      <c r="AM378" s="207"/>
      <c r="AN378" s="207"/>
      <c r="AQ378" s="239" t="s">
        <v>659</v>
      </c>
      <c r="AR378" s="437" t="s">
        <v>642</v>
      </c>
      <c r="AS378" s="437"/>
      <c r="AT378" s="271"/>
      <c r="AU378" s="256"/>
      <c r="AV378" s="254"/>
      <c r="AW378" s="254"/>
      <c r="AX378" s="254"/>
      <c r="AY378" s="252"/>
      <c r="AZ378" s="256"/>
      <c r="BA378" s="254"/>
      <c r="BB378" s="254"/>
      <c r="BC378" s="254"/>
      <c r="BD378" s="220"/>
      <c r="BE378" s="239" t="s">
        <v>659</v>
      </c>
      <c r="BF378" s="437" t="s">
        <v>642</v>
      </c>
      <c r="BG378" s="437"/>
    </row>
    <row r="379" spans="2:71" ht="21.75" customHeight="1">
      <c r="B379" s="237" t="s">
        <v>660</v>
      </c>
      <c r="C379" s="238" t="s">
        <v>624</v>
      </c>
      <c r="D379" s="78" t="s">
        <v>53</v>
      </c>
      <c r="E379" s="190">
        <v>7</v>
      </c>
      <c r="F379" s="214">
        <f aca="true" t="shared" si="418" ref="F379:F386">$G$16</f>
        <v>0.0606</v>
      </c>
      <c r="G379" s="197">
        <f aca="true" t="shared" si="419" ref="G379:G386">ROUND(E379*F379,2)</f>
        <v>0.42</v>
      </c>
      <c r="H379" s="197">
        <f aca="true" t="shared" si="420" ref="H379:H386">ROUND(G379*($A$16+$A$17)/100,2)</f>
        <v>0</v>
      </c>
      <c r="I379" s="198">
        <f aca="true" t="shared" si="421" ref="I379:I386">SUM(G379:H379)</f>
        <v>0.42</v>
      </c>
      <c r="J379" s="257">
        <v>13</v>
      </c>
      <c r="K379" s="214">
        <f aca="true" t="shared" si="422" ref="K379:K386">$G$19</f>
        <v>0.0482</v>
      </c>
      <c r="L379" s="197">
        <f aca="true" t="shared" si="423" ref="L379:L386">ROUND(J379*K379,2)</f>
        <v>0.63</v>
      </c>
      <c r="M379" s="197">
        <f aca="true" t="shared" si="424" ref="M379:M386">ROUND(L379*($A$16+$A$17)/100,2)</f>
        <v>0</v>
      </c>
      <c r="N379" s="198">
        <f aca="true" t="shared" si="425" ref="N379:N386">SUM(L379:M379)</f>
        <v>0.63</v>
      </c>
      <c r="O379" s="199">
        <f aca="true" t="shared" si="426" ref="O379:O386">SUM(I379,N379)</f>
        <v>1.05</v>
      </c>
      <c r="P379" s="237" t="s">
        <v>660</v>
      </c>
      <c r="Q379" s="439" t="s">
        <v>624</v>
      </c>
      <c r="R379" s="439"/>
      <c r="T379" t="s">
        <v>54</v>
      </c>
      <c r="U379" s="200">
        <f t="shared" si="405"/>
        <v>1.05</v>
      </c>
      <c r="V379" s="200">
        <f t="shared" si="406"/>
        <v>0.11</v>
      </c>
      <c r="W379" s="197">
        <f t="shared" si="407"/>
        <v>0.39</v>
      </c>
      <c r="X379" s="197">
        <f t="shared" si="408"/>
        <v>0</v>
      </c>
      <c r="Y379" s="197">
        <f t="shared" si="409"/>
        <v>0.02</v>
      </c>
      <c r="Z379" s="201">
        <f t="shared" si="410"/>
        <v>1.15</v>
      </c>
      <c r="AA379" s="202">
        <f t="shared" si="411"/>
        <v>2.72</v>
      </c>
      <c r="AB379" s="203">
        <f t="shared" si="412"/>
        <v>0.82</v>
      </c>
      <c r="AC379" s="204">
        <f t="shared" si="413"/>
        <v>3.54</v>
      </c>
      <c r="AD379" s="205">
        <f t="shared" si="414"/>
        <v>0.19</v>
      </c>
      <c r="AE379" s="206">
        <f t="shared" si="415"/>
        <v>3.73</v>
      </c>
      <c r="AG379" s="237" t="s">
        <v>660</v>
      </c>
      <c r="AH379" s="439" t="s">
        <v>624</v>
      </c>
      <c r="AI379" s="439"/>
      <c r="AL379" s="207">
        <f t="shared" si="416"/>
        <v>3.73</v>
      </c>
      <c r="AM379" s="207"/>
      <c r="AN379" s="207">
        <f t="shared" si="417"/>
        <v>3.73</v>
      </c>
      <c r="AQ379" s="237" t="s">
        <v>660</v>
      </c>
      <c r="AR379" s="439" t="s">
        <v>624</v>
      </c>
      <c r="AS379" s="439"/>
      <c r="AT379" s="271">
        <v>7</v>
      </c>
      <c r="AU379" s="214">
        <f t="shared" si="403"/>
        <v>0.0606</v>
      </c>
      <c r="AV379" s="269">
        <f>ROUND(AT379*AU379,2)</f>
        <v>0.42</v>
      </c>
      <c r="AW379" s="269">
        <f>ROUND(AV379*($A$16+$A$17)/100,2)</f>
        <v>0</v>
      </c>
      <c r="AX379" s="198">
        <f>SUM(AV379:AW379)</f>
        <v>0.42</v>
      </c>
      <c r="AY379" s="29">
        <v>13</v>
      </c>
      <c r="AZ379" s="214">
        <f t="shared" si="404"/>
        <v>0.0482</v>
      </c>
      <c r="BA379" s="269">
        <f>ROUND(AY379*AZ379,2)</f>
        <v>0.63</v>
      </c>
      <c r="BB379" s="269">
        <f>ROUND(BA379*($A$16+$A$17)/100,2)</f>
        <v>0</v>
      </c>
      <c r="BC379" s="198">
        <f>SUM(BA379:BB379)</f>
        <v>0.63</v>
      </c>
      <c r="BD379" s="199">
        <f>SUM(AX379,BC379)</f>
        <v>1.05</v>
      </c>
      <c r="BE379" s="237" t="s">
        <v>660</v>
      </c>
      <c r="BF379" s="439" t="s">
        <v>624</v>
      </c>
      <c r="BG379" s="439"/>
      <c r="BI379" s="200">
        <f>BD379</f>
        <v>1.05</v>
      </c>
      <c r="BJ379" s="200">
        <f>ROUND(BI379*$S$19,2)</f>
        <v>0.11</v>
      </c>
      <c r="BK379" s="197">
        <f>ROUND(SUM(BI379:BJ379)*$AA$19,2)</f>
        <v>0.39</v>
      </c>
      <c r="BL379" s="197">
        <f>ROUND(SUM(BI379:BJ379)*$AA$21,2)</f>
        <v>0</v>
      </c>
      <c r="BM379" s="197">
        <f>ROUND(SUM(BI379:BJ379)*$AA$20,2)</f>
        <v>0.02</v>
      </c>
      <c r="BN379" s="201">
        <f>ROUND(BI379*$S$20,2)</f>
        <v>1.15</v>
      </c>
      <c r="BO379" s="202">
        <f>SUM(BI379:BN379)</f>
        <v>2.72</v>
      </c>
      <c r="BP379" s="203">
        <f>ROUND(BO379*$S$21,2)</f>
        <v>0.82</v>
      </c>
      <c r="BQ379" s="204">
        <f>SUM(BO379:BP379)</f>
        <v>3.54</v>
      </c>
      <c r="BR379" s="205">
        <f>ROUND(BQ379*$AD$19/95,2)</f>
        <v>0.19</v>
      </c>
      <c r="BS379" s="206">
        <f>SUM(BQ379:BR379)</f>
        <v>3.73</v>
      </c>
    </row>
    <row r="380" spans="2:71" ht="23.25" customHeight="1">
      <c r="B380" s="237" t="s">
        <v>661</v>
      </c>
      <c r="C380" s="238" t="s">
        <v>626</v>
      </c>
      <c r="D380" s="78" t="s">
        <v>53</v>
      </c>
      <c r="E380" s="190">
        <v>10</v>
      </c>
      <c r="F380" s="214">
        <f t="shared" si="418"/>
        <v>0.0606</v>
      </c>
      <c r="G380" s="197">
        <f t="shared" si="419"/>
        <v>0.61</v>
      </c>
      <c r="H380" s="197">
        <f t="shared" si="420"/>
        <v>0</v>
      </c>
      <c r="I380" s="198">
        <f t="shared" si="421"/>
        <v>0.61</v>
      </c>
      <c r="J380" s="257">
        <v>15</v>
      </c>
      <c r="K380" s="214">
        <f t="shared" si="422"/>
        <v>0.0482</v>
      </c>
      <c r="L380" s="197">
        <f t="shared" si="423"/>
        <v>0.72</v>
      </c>
      <c r="M380" s="197">
        <f t="shared" si="424"/>
        <v>0</v>
      </c>
      <c r="N380" s="198">
        <f t="shared" si="425"/>
        <v>0.72</v>
      </c>
      <c r="O380" s="199">
        <f t="shared" si="426"/>
        <v>1.33</v>
      </c>
      <c r="P380" s="237" t="s">
        <v>661</v>
      </c>
      <c r="Q380" s="439" t="s">
        <v>626</v>
      </c>
      <c r="R380" s="439"/>
      <c r="T380" t="s">
        <v>54</v>
      </c>
      <c r="U380" s="200">
        <f t="shared" si="405"/>
        <v>1.33</v>
      </c>
      <c r="V380" s="200">
        <f t="shared" si="406"/>
        <v>0.14</v>
      </c>
      <c r="W380" s="197">
        <f t="shared" si="407"/>
        <v>0.5</v>
      </c>
      <c r="X380" s="197">
        <f t="shared" si="408"/>
        <v>0</v>
      </c>
      <c r="Y380" s="197">
        <f t="shared" si="409"/>
        <v>0.02</v>
      </c>
      <c r="Z380" s="201">
        <f t="shared" si="410"/>
        <v>1.46</v>
      </c>
      <c r="AA380" s="202">
        <f t="shared" si="411"/>
        <v>3.45</v>
      </c>
      <c r="AB380" s="203">
        <f t="shared" si="412"/>
        <v>1.04</v>
      </c>
      <c r="AC380" s="204">
        <f t="shared" si="413"/>
        <v>4.49</v>
      </c>
      <c r="AD380" s="205">
        <f t="shared" si="414"/>
        <v>0.24</v>
      </c>
      <c r="AE380" s="206">
        <f t="shared" si="415"/>
        <v>4.73</v>
      </c>
      <c r="AG380" s="237" t="s">
        <v>661</v>
      </c>
      <c r="AH380" s="439" t="s">
        <v>626</v>
      </c>
      <c r="AI380" s="439"/>
      <c r="AL380" s="207">
        <f t="shared" si="416"/>
        <v>4.73</v>
      </c>
      <c r="AM380" s="207"/>
      <c r="AN380" s="207">
        <f t="shared" si="417"/>
        <v>4.73</v>
      </c>
      <c r="AQ380" s="237" t="s">
        <v>661</v>
      </c>
      <c r="AR380" s="439" t="s">
        <v>626</v>
      </c>
      <c r="AS380" s="439"/>
      <c r="AT380" s="271">
        <v>10</v>
      </c>
      <c r="AU380" s="214">
        <f t="shared" si="403"/>
        <v>0.0606</v>
      </c>
      <c r="AV380" s="269">
        <f>ROUND(AT380*AU380,2)</f>
        <v>0.61</v>
      </c>
      <c r="AW380" s="269">
        <f>ROUND(AV380*($A$16+$A$17)/100,2)</f>
        <v>0</v>
      </c>
      <c r="AX380" s="198">
        <f>SUM(AV380:AW380)</f>
        <v>0.61</v>
      </c>
      <c r="AY380" s="29">
        <v>15</v>
      </c>
      <c r="AZ380" s="214">
        <f t="shared" si="404"/>
        <v>0.0482</v>
      </c>
      <c r="BA380" s="269">
        <f>ROUND(AY380*AZ380,2)</f>
        <v>0.72</v>
      </c>
      <c r="BB380" s="269">
        <f>ROUND(BA380*($A$16+$A$17)/100,2)</f>
        <v>0</v>
      </c>
      <c r="BC380" s="198">
        <f>SUM(BA380:BB380)</f>
        <v>0.72</v>
      </c>
      <c r="BD380" s="199">
        <f>SUM(AX380,BC380)</f>
        <v>1.33</v>
      </c>
      <c r="BE380" s="237" t="s">
        <v>661</v>
      </c>
      <c r="BF380" s="439" t="s">
        <v>626</v>
      </c>
      <c r="BG380" s="439"/>
      <c r="BI380" s="200">
        <f>BD380</f>
        <v>1.33</v>
      </c>
      <c r="BJ380" s="200">
        <f>ROUND(BI380*$S$19,2)</f>
        <v>0.14</v>
      </c>
      <c r="BK380" s="197">
        <f>ROUND(SUM(BI380:BJ380)*$AA$19,2)</f>
        <v>0.5</v>
      </c>
      <c r="BL380" s="197">
        <f>ROUND(SUM(BI380:BJ380)*$AA$21,2)</f>
        <v>0</v>
      </c>
      <c r="BM380" s="197">
        <f>ROUND(SUM(BI380:BJ380)*$AA$20,2)</f>
        <v>0.02</v>
      </c>
      <c r="BN380" s="201">
        <f>ROUND(BI380*$S$20,2)</f>
        <v>1.46</v>
      </c>
      <c r="BO380" s="202">
        <f>SUM(BI380:BN380)</f>
        <v>3.45</v>
      </c>
      <c r="BP380" s="203">
        <f>ROUND(BO380*$S$21,2)</f>
        <v>1.04</v>
      </c>
      <c r="BQ380" s="204">
        <f>SUM(BO380:BP380)</f>
        <v>4.49</v>
      </c>
      <c r="BR380" s="205">
        <f>ROUND(BQ380*$AD$19/95,2)</f>
        <v>0.24</v>
      </c>
      <c r="BS380" s="206">
        <f>SUM(BQ380:BR380)</f>
        <v>4.73</v>
      </c>
    </row>
    <row r="381" spans="2:59" ht="21" customHeight="1">
      <c r="B381" s="239" t="s">
        <v>662</v>
      </c>
      <c r="C381" s="240" t="s">
        <v>634</v>
      </c>
      <c r="D381" s="251"/>
      <c r="E381" s="255"/>
      <c r="F381" s="256"/>
      <c r="G381" s="253"/>
      <c r="H381" s="253"/>
      <c r="I381" s="254"/>
      <c r="J381" s="255"/>
      <c r="K381" s="256"/>
      <c r="L381" s="253"/>
      <c r="M381" s="253"/>
      <c r="N381" s="254"/>
      <c r="O381" s="220"/>
      <c r="P381" s="239" t="s">
        <v>662</v>
      </c>
      <c r="Q381" s="437" t="s">
        <v>634</v>
      </c>
      <c r="R381" s="437"/>
      <c r="U381" s="253"/>
      <c r="V381" s="253"/>
      <c r="W381" s="253"/>
      <c r="X381" s="253"/>
      <c r="Y381" s="253"/>
      <c r="Z381" s="253"/>
      <c r="AA381" s="253"/>
      <c r="AB381" s="253"/>
      <c r="AC381" s="253"/>
      <c r="AD381" s="253"/>
      <c r="AE381" s="220"/>
      <c r="AG381" s="239" t="s">
        <v>662</v>
      </c>
      <c r="AH381" s="437" t="s">
        <v>634</v>
      </c>
      <c r="AI381" s="437"/>
      <c r="AL381" s="207"/>
      <c r="AM381" s="207"/>
      <c r="AN381" s="207"/>
      <c r="AQ381" s="239" t="s">
        <v>662</v>
      </c>
      <c r="AR381" s="437" t="s">
        <v>634</v>
      </c>
      <c r="AS381" s="437"/>
      <c r="AT381" s="271"/>
      <c r="AU381" s="256"/>
      <c r="AV381" s="254"/>
      <c r="AW381" s="254"/>
      <c r="AX381" s="254"/>
      <c r="AY381" s="252"/>
      <c r="AZ381" s="256"/>
      <c r="BA381" s="254"/>
      <c r="BB381" s="254"/>
      <c r="BC381" s="254"/>
      <c r="BD381" s="220"/>
      <c r="BE381" s="239" t="s">
        <v>662</v>
      </c>
      <c r="BF381" s="437" t="s">
        <v>634</v>
      </c>
      <c r="BG381" s="437"/>
    </row>
    <row r="382" spans="2:71" ht="20.25" customHeight="1">
      <c r="B382" s="237" t="s">
        <v>663</v>
      </c>
      <c r="C382" s="238" t="s">
        <v>636</v>
      </c>
      <c r="D382" s="78" t="s">
        <v>53</v>
      </c>
      <c r="E382" s="190">
        <v>10</v>
      </c>
      <c r="F382" s="214">
        <f t="shared" si="418"/>
        <v>0.0606</v>
      </c>
      <c r="G382" s="197">
        <f t="shared" si="419"/>
        <v>0.61</v>
      </c>
      <c r="H382" s="197">
        <f t="shared" si="420"/>
        <v>0</v>
      </c>
      <c r="I382" s="198">
        <f t="shared" si="421"/>
        <v>0.61</v>
      </c>
      <c r="J382" s="257">
        <v>20</v>
      </c>
      <c r="K382" s="214">
        <f t="shared" si="422"/>
        <v>0.0482</v>
      </c>
      <c r="L382" s="197">
        <f t="shared" si="423"/>
        <v>0.96</v>
      </c>
      <c r="M382" s="197">
        <f t="shared" si="424"/>
        <v>0</v>
      </c>
      <c r="N382" s="198">
        <f t="shared" si="425"/>
        <v>0.96</v>
      </c>
      <c r="O382" s="199">
        <f t="shared" si="426"/>
        <v>1.5699999999999998</v>
      </c>
      <c r="P382" s="237" t="s">
        <v>663</v>
      </c>
      <c r="Q382" s="439" t="s">
        <v>636</v>
      </c>
      <c r="R382" s="439"/>
      <c r="T382" t="s">
        <v>54</v>
      </c>
      <c r="U382" s="200">
        <f t="shared" si="405"/>
        <v>1.5699999999999998</v>
      </c>
      <c r="V382" s="200">
        <f t="shared" si="406"/>
        <v>0.16</v>
      </c>
      <c r="W382" s="197">
        <f t="shared" si="407"/>
        <v>0.59</v>
      </c>
      <c r="X382" s="197">
        <f t="shared" si="408"/>
        <v>0</v>
      </c>
      <c r="Y382" s="197">
        <f t="shared" si="409"/>
        <v>0.03</v>
      </c>
      <c r="Z382" s="201">
        <f t="shared" si="410"/>
        <v>1.72</v>
      </c>
      <c r="AA382" s="202">
        <f t="shared" si="411"/>
        <v>4.069999999999999</v>
      </c>
      <c r="AB382" s="203">
        <f t="shared" si="412"/>
        <v>1.22</v>
      </c>
      <c r="AC382" s="204">
        <f t="shared" si="413"/>
        <v>5.289999999999999</v>
      </c>
      <c r="AD382" s="205">
        <f t="shared" si="414"/>
        <v>0.28</v>
      </c>
      <c r="AE382" s="206">
        <f t="shared" si="415"/>
        <v>5.569999999999999</v>
      </c>
      <c r="AG382" s="237" t="s">
        <v>663</v>
      </c>
      <c r="AH382" s="439" t="s">
        <v>636</v>
      </c>
      <c r="AI382" s="439"/>
      <c r="AL382" s="207">
        <f t="shared" si="416"/>
        <v>5.569999999999999</v>
      </c>
      <c r="AM382" s="207"/>
      <c r="AN382" s="207">
        <f t="shared" si="417"/>
        <v>5.569999999999999</v>
      </c>
      <c r="AQ382" s="237" t="s">
        <v>663</v>
      </c>
      <c r="AR382" s="439" t="s">
        <v>636</v>
      </c>
      <c r="AS382" s="439"/>
      <c r="AT382" s="271">
        <v>10</v>
      </c>
      <c r="AU382" s="214">
        <f t="shared" si="403"/>
        <v>0.0606</v>
      </c>
      <c r="AV382" s="269">
        <f>ROUND(AT382*AU382,2)</f>
        <v>0.61</v>
      </c>
      <c r="AW382" s="269">
        <f>ROUND(AV382*($A$16+$A$17)/100,2)</f>
        <v>0</v>
      </c>
      <c r="AX382" s="198">
        <f>SUM(AV382:AW382)</f>
        <v>0.61</v>
      </c>
      <c r="AY382" s="29">
        <v>20</v>
      </c>
      <c r="AZ382" s="214">
        <f t="shared" si="404"/>
        <v>0.0482</v>
      </c>
      <c r="BA382" s="269">
        <f>ROUND(AY382*AZ382,2)</f>
        <v>0.96</v>
      </c>
      <c r="BB382" s="269">
        <f>ROUND(BA382*($A$16+$A$17)/100,2)</f>
        <v>0</v>
      </c>
      <c r="BC382" s="198">
        <f>SUM(BA382:BB382)</f>
        <v>0.96</v>
      </c>
      <c r="BD382" s="199">
        <f>SUM(AX382,BC382)</f>
        <v>1.5699999999999998</v>
      </c>
      <c r="BE382" s="237" t="s">
        <v>663</v>
      </c>
      <c r="BF382" s="439" t="s">
        <v>636</v>
      </c>
      <c r="BG382" s="439"/>
      <c r="BI382" s="200">
        <f>BD382</f>
        <v>1.5699999999999998</v>
      </c>
      <c r="BJ382" s="200">
        <f>ROUND(BI382*$S$19,2)</f>
        <v>0.16</v>
      </c>
      <c r="BK382" s="197">
        <f>ROUND(SUM(BI382:BJ382)*$AA$19,2)</f>
        <v>0.59</v>
      </c>
      <c r="BL382" s="197">
        <f>ROUND(SUM(BI382:BJ382)*$AA$21,2)</f>
        <v>0</v>
      </c>
      <c r="BM382" s="197">
        <f>ROUND(SUM(BI382:BJ382)*$AA$20,2)</f>
        <v>0.03</v>
      </c>
      <c r="BN382" s="201">
        <f>ROUND(BI382*$S$20,2)</f>
        <v>1.72</v>
      </c>
      <c r="BO382" s="202">
        <f>SUM(BI382:BN382)</f>
        <v>4.069999999999999</v>
      </c>
      <c r="BP382" s="203">
        <f>ROUND(BO382*$S$21,2)</f>
        <v>1.22</v>
      </c>
      <c r="BQ382" s="204">
        <f>SUM(BO382:BP382)</f>
        <v>5.289999999999999</v>
      </c>
      <c r="BR382" s="205">
        <f>ROUND(BQ382*$AD$19/95,2)</f>
        <v>0.28</v>
      </c>
      <c r="BS382" s="206">
        <f>SUM(BQ382:BR382)</f>
        <v>5.569999999999999</v>
      </c>
    </row>
    <row r="383" spans="2:71" ht="15.75" customHeight="1">
      <c r="B383" s="237" t="s">
        <v>664</v>
      </c>
      <c r="C383" s="238" t="s">
        <v>665</v>
      </c>
      <c r="D383" s="78" t="s">
        <v>53</v>
      </c>
      <c r="E383" s="190">
        <v>8</v>
      </c>
      <c r="F383" s="214">
        <f t="shared" si="418"/>
        <v>0.0606</v>
      </c>
      <c r="G383" s="197">
        <f t="shared" si="419"/>
        <v>0.48</v>
      </c>
      <c r="H383" s="197">
        <f t="shared" si="420"/>
        <v>0</v>
      </c>
      <c r="I383" s="198">
        <f t="shared" si="421"/>
        <v>0.48</v>
      </c>
      <c r="J383" s="257">
        <v>12</v>
      </c>
      <c r="K383" s="214">
        <f t="shared" si="422"/>
        <v>0.0482</v>
      </c>
      <c r="L383" s="197">
        <f t="shared" si="423"/>
        <v>0.58</v>
      </c>
      <c r="M383" s="197">
        <f t="shared" si="424"/>
        <v>0</v>
      </c>
      <c r="N383" s="198">
        <f t="shared" si="425"/>
        <v>0.58</v>
      </c>
      <c r="O383" s="199">
        <f t="shared" si="426"/>
        <v>1.06</v>
      </c>
      <c r="P383" s="237" t="s">
        <v>664</v>
      </c>
      <c r="Q383" s="439" t="s">
        <v>665</v>
      </c>
      <c r="R383" s="439"/>
      <c r="T383" t="s">
        <v>54</v>
      </c>
      <c r="U383" s="200">
        <f t="shared" si="405"/>
        <v>1.06</v>
      </c>
      <c r="V383" s="200">
        <f t="shared" si="406"/>
        <v>0.11</v>
      </c>
      <c r="W383" s="197">
        <f t="shared" si="407"/>
        <v>0.4</v>
      </c>
      <c r="X383" s="197">
        <f t="shared" si="408"/>
        <v>0</v>
      </c>
      <c r="Y383" s="197">
        <f t="shared" si="409"/>
        <v>0.02</v>
      </c>
      <c r="Z383" s="201">
        <f t="shared" si="410"/>
        <v>1.16</v>
      </c>
      <c r="AA383" s="202">
        <f t="shared" si="411"/>
        <v>2.75</v>
      </c>
      <c r="AB383" s="203">
        <f t="shared" si="412"/>
        <v>0.83</v>
      </c>
      <c r="AC383" s="204">
        <f t="shared" si="413"/>
        <v>3.58</v>
      </c>
      <c r="AD383" s="205">
        <f t="shared" si="414"/>
        <v>0.19</v>
      </c>
      <c r="AE383" s="206">
        <f t="shared" si="415"/>
        <v>3.77</v>
      </c>
      <c r="AG383" s="237" t="s">
        <v>664</v>
      </c>
      <c r="AH383" s="439" t="s">
        <v>665</v>
      </c>
      <c r="AI383" s="439"/>
      <c r="AL383" s="207">
        <f t="shared" si="416"/>
        <v>3.77</v>
      </c>
      <c r="AM383" s="207"/>
      <c r="AN383" s="207">
        <f t="shared" si="417"/>
        <v>3.77</v>
      </c>
      <c r="AQ383" s="237" t="s">
        <v>664</v>
      </c>
      <c r="AR383" s="439" t="s">
        <v>665</v>
      </c>
      <c r="AS383" s="439"/>
      <c r="AT383" s="271">
        <v>8</v>
      </c>
      <c r="AU383" s="214">
        <f t="shared" si="403"/>
        <v>0.0606</v>
      </c>
      <c r="AV383" s="269">
        <f>ROUND(AT383*AU383,2)</f>
        <v>0.48</v>
      </c>
      <c r="AW383" s="269">
        <f>ROUND(AV383*($A$16+$A$17)/100,2)</f>
        <v>0</v>
      </c>
      <c r="AX383" s="198">
        <f>SUM(AV383:AW383)</f>
        <v>0.48</v>
      </c>
      <c r="AY383" s="29">
        <v>12</v>
      </c>
      <c r="AZ383" s="214">
        <f t="shared" si="404"/>
        <v>0.0482</v>
      </c>
      <c r="BA383" s="269">
        <f>ROUND(AY383*AZ383,2)</f>
        <v>0.58</v>
      </c>
      <c r="BB383" s="269">
        <f>ROUND(BA383*($A$16+$A$17)/100,2)</f>
        <v>0</v>
      </c>
      <c r="BC383" s="198">
        <f>SUM(BA383:BB383)</f>
        <v>0.58</v>
      </c>
      <c r="BD383" s="199">
        <f>SUM(AX383,BC383)</f>
        <v>1.06</v>
      </c>
      <c r="BE383" s="237" t="s">
        <v>664</v>
      </c>
      <c r="BF383" s="439" t="s">
        <v>665</v>
      </c>
      <c r="BG383" s="439"/>
      <c r="BI383" s="200">
        <f>BD383</f>
        <v>1.06</v>
      </c>
      <c r="BJ383" s="200">
        <f>ROUND(BI383*$S$19,2)</f>
        <v>0.11</v>
      </c>
      <c r="BK383" s="197">
        <f>ROUND(SUM(BI383:BJ383)*$AA$19,2)</f>
        <v>0.4</v>
      </c>
      <c r="BL383" s="197">
        <f>ROUND(SUM(BI383:BJ383)*$AA$21,2)</f>
        <v>0</v>
      </c>
      <c r="BM383" s="197">
        <f>ROUND(SUM(BI383:BJ383)*$AA$20,2)</f>
        <v>0.02</v>
      </c>
      <c r="BN383" s="201">
        <f>ROUND(BI383*$S$20,2)</f>
        <v>1.16</v>
      </c>
      <c r="BO383" s="202">
        <f>SUM(BI383:BN383)</f>
        <v>2.75</v>
      </c>
      <c r="BP383" s="203">
        <f>ROUND(BO383*$S$21,2)</f>
        <v>0.83</v>
      </c>
      <c r="BQ383" s="204">
        <f>SUM(BO383:BP383)</f>
        <v>3.58</v>
      </c>
      <c r="BR383" s="205">
        <f>ROUND(BQ383*$AD$19/95,2)</f>
        <v>0.19</v>
      </c>
      <c r="BS383" s="206">
        <f>SUM(BQ383:BR383)</f>
        <v>3.77</v>
      </c>
    </row>
    <row r="384" spans="2:59" ht="38.25" customHeight="1">
      <c r="B384" s="239" t="s">
        <v>666</v>
      </c>
      <c r="C384" s="240" t="s">
        <v>667</v>
      </c>
      <c r="D384" s="251"/>
      <c r="E384" s="255"/>
      <c r="F384" s="256"/>
      <c r="G384" s="253"/>
      <c r="H384" s="253"/>
      <c r="I384" s="254"/>
      <c r="J384" s="255"/>
      <c r="K384" s="256"/>
      <c r="L384" s="253"/>
      <c r="M384" s="253"/>
      <c r="N384" s="254"/>
      <c r="O384" s="220"/>
      <c r="P384" s="239" t="s">
        <v>666</v>
      </c>
      <c r="Q384" s="437" t="s">
        <v>667</v>
      </c>
      <c r="R384" s="437"/>
      <c r="U384" s="253"/>
      <c r="V384" s="253"/>
      <c r="W384" s="253"/>
      <c r="X384" s="253"/>
      <c r="Y384" s="253"/>
      <c r="Z384" s="253"/>
      <c r="AA384" s="253"/>
      <c r="AB384" s="253"/>
      <c r="AC384" s="253"/>
      <c r="AD384" s="253"/>
      <c r="AE384" s="220"/>
      <c r="AG384" s="239" t="s">
        <v>666</v>
      </c>
      <c r="AH384" s="437" t="s">
        <v>667</v>
      </c>
      <c r="AI384" s="437"/>
      <c r="AL384" s="207"/>
      <c r="AM384" s="207"/>
      <c r="AN384" s="207"/>
      <c r="AQ384" s="239" t="s">
        <v>666</v>
      </c>
      <c r="AR384" s="437" t="s">
        <v>667</v>
      </c>
      <c r="AS384" s="437"/>
      <c r="AT384" s="271"/>
      <c r="AU384" s="256"/>
      <c r="AV384" s="254"/>
      <c r="AW384" s="254"/>
      <c r="AX384" s="254"/>
      <c r="AY384" s="252"/>
      <c r="AZ384" s="256"/>
      <c r="BA384" s="254"/>
      <c r="BB384" s="254"/>
      <c r="BC384" s="254"/>
      <c r="BD384" s="220"/>
      <c r="BE384" s="239" t="s">
        <v>666</v>
      </c>
      <c r="BF384" s="437" t="s">
        <v>667</v>
      </c>
      <c r="BG384" s="437"/>
    </row>
    <row r="385" spans="2:71" ht="18.75" customHeight="1">
      <c r="B385" s="237" t="s">
        <v>668</v>
      </c>
      <c r="C385" s="238" t="s">
        <v>669</v>
      </c>
      <c r="D385" s="78" t="s">
        <v>53</v>
      </c>
      <c r="E385" s="190">
        <v>3.5</v>
      </c>
      <c r="F385" s="214">
        <f t="shared" si="418"/>
        <v>0.0606</v>
      </c>
      <c r="G385" s="197">
        <f t="shared" si="419"/>
        <v>0.21</v>
      </c>
      <c r="H385" s="197">
        <f t="shared" si="420"/>
        <v>0</v>
      </c>
      <c r="I385" s="198">
        <f t="shared" si="421"/>
        <v>0.21</v>
      </c>
      <c r="J385" s="257">
        <v>4</v>
      </c>
      <c r="K385" s="214">
        <f t="shared" si="422"/>
        <v>0.0482</v>
      </c>
      <c r="L385" s="197">
        <f t="shared" si="423"/>
        <v>0.19</v>
      </c>
      <c r="M385" s="197">
        <f t="shared" si="424"/>
        <v>0</v>
      </c>
      <c r="N385" s="198">
        <f t="shared" si="425"/>
        <v>0.19</v>
      </c>
      <c r="O385" s="199">
        <f t="shared" si="426"/>
        <v>0.4</v>
      </c>
      <c r="P385" s="237" t="s">
        <v>668</v>
      </c>
      <c r="Q385" s="439" t="s">
        <v>669</v>
      </c>
      <c r="R385" s="439"/>
      <c r="T385" t="s">
        <v>54</v>
      </c>
      <c r="U385" s="200">
        <f t="shared" si="405"/>
        <v>0.4</v>
      </c>
      <c r="V385" s="200">
        <f t="shared" si="406"/>
        <v>0.04</v>
      </c>
      <c r="W385" s="197">
        <f t="shared" si="407"/>
        <v>0.15</v>
      </c>
      <c r="X385" s="197">
        <f t="shared" si="408"/>
        <v>0</v>
      </c>
      <c r="Y385" s="197">
        <f t="shared" si="409"/>
        <v>0.01</v>
      </c>
      <c r="Z385" s="201">
        <f t="shared" si="410"/>
        <v>0.44</v>
      </c>
      <c r="AA385" s="202">
        <f t="shared" si="411"/>
        <v>1.04</v>
      </c>
      <c r="AB385" s="203">
        <f t="shared" si="412"/>
        <v>0.31</v>
      </c>
      <c r="AC385" s="204">
        <f t="shared" si="413"/>
        <v>1.35</v>
      </c>
      <c r="AD385" s="205">
        <f t="shared" si="414"/>
        <v>0.07</v>
      </c>
      <c r="AE385" s="206">
        <f t="shared" si="415"/>
        <v>1.4200000000000002</v>
      </c>
      <c r="AG385" s="237" t="s">
        <v>668</v>
      </c>
      <c r="AH385" s="439" t="s">
        <v>669</v>
      </c>
      <c r="AI385" s="439"/>
      <c r="AL385" s="207">
        <f t="shared" si="416"/>
        <v>1.4200000000000002</v>
      </c>
      <c r="AM385" s="207"/>
      <c r="AN385" s="207">
        <f t="shared" si="417"/>
        <v>0.9299999999999999</v>
      </c>
      <c r="AQ385" s="237" t="s">
        <v>668</v>
      </c>
      <c r="AR385" s="439" t="s">
        <v>669</v>
      </c>
      <c r="AS385" s="439"/>
      <c r="AT385" s="271">
        <v>2</v>
      </c>
      <c r="AU385" s="214">
        <f t="shared" si="403"/>
        <v>0.0606</v>
      </c>
      <c r="AV385" s="269">
        <f>ROUND(AT385*AU385,2)</f>
        <v>0.12</v>
      </c>
      <c r="AW385" s="269">
        <f>ROUND(AV385*($A$16+$A$17)/100,2)</f>
        <v>0</v>
      </c>
      <c r="AX385" s="198">
        <f>SUM(AV385:AW385)</f>
        <v>0.12</v>
      </c>
      <c r="AY385" s="29">
        <v>3</v>
      </c>
      <c r="AZ385" s="214">
        <f t="shared" si="404"/>
        <v>0.0482</v>
      </c>
      <c r="BA385" s="269">
        <f>ROUND(AY385*AZ385,2)</f>
        <v>0.14</v>
      </c>
      <c r="BB385" s="269">
        <f>ROUND(BA385*($A$16+$A$17)/100,2)</f>
        <v>0</v>
      </c>
      <c r="BC385" s="198">
        <f>SUM(BA385:BB385)</f>
        <v>0.14</v>
      </c>
      <c r="BD385" s="199">
        <f>SUM(AX385,BC385)</f>
        <v>0.26</v>
      </c>
      <c r="BE385" s="237" t="s">
        <v>668</v>
      </c>
      <c r="BF385" s="439" t="s">
        <v>669</v>
      </c>
      <c r="BG385" s="439"/>
      <c r="BI385" s="200">
        <f>BD385</f>
        <v>0.26</v>
      </c>
      <c r="BJ385" s="200">
        <f>ROUND(BI385*$S$19,2)</f>
        <v>0.03</v>
      </c>
      <c r="BK385" s="197">
        <f>ROUND(SUM(BI385:BJ385)*$AA$19,2)</f>
        <v>0.1</v>
      </c>
      <c r="BL385" s="197">
        <f>ROUND(SUM(BI385:BJ385)*$AA$21,2)</f>
        <v>0</v>
      </c>
      <c r="BM385" s="197">
        <f>ROUND(SUM(BI385:BJ385)*$AA$20,2)</f>
        <v>0</v>
      </c>
      <c r="BN385" s="201">
        <f>ROUND(BI385*$S$20,2)</f>
        <v>0.29</v>
      </c>
      <c r="BO385" s="202">
        <f>SUM(BI385:BN385)</f>
        <v>0.6799999999999999</v>
      </c>
      <c r="BP385" s="203">
        <f>ROUND(BO385*$S$21,2)</f>
        <v>0.2</v>
      </c>
      <c r="BQ385" s="204">
        <f>SUM(BO385:BP385)</f>
        <v>0.8799999999999999</v>
      </c>
      <c r="BR385" s="205">
        <f>ROUND(BQ385*$AD$19/95,2)</f>
        <v>0.05</v>
      </c>
      <c r="BS385" s="206">
        <f>SUM(BQ385:BR385)</f>
        <v>0.9299999999999999</v>
      </c>
    </row>
    <row r="386" spans="2:71" ht="19.5" customHeight="1">
      <c r="B386" s="237" t="s">
        <v>670</v>
      </c>
      <c r="C386" s="238" t="s">
        <v>671</v>
      </c>
      <c r="D386" s="78" t="s">
        <v>53</v>
      </c>
      <c r="E386" s="190">
        <v>5.5</v>
      </c>
      <c r="F386" s="214">
        <f t="shared" si="418"/>
        <v>0.0606</v>
      </c>
      <c r="G386" s="197">
        <f t="shared" si="419"/>
        <v>0.33</v>
      </c>
      <c r="H386" s="197">
        <f t="shared" si="420"/>
        <v>0</v>
      </c>
      <c r="I386" s="198">
        <f t="shared" si="421"/>
        <v>0.33</v>
      </c>
      <c r="J386" s="257">
        <v>8</v>
      </c>
      <c r="K386" s="214">
        <f t="shared" si="422"/>
        <v>0.0482</v>
      </c>
      <c r="L386" s="197">
        <f t="shared" si="423"/>
        <v>0.39</v>
      </c>
      <c r="M386" s="197">
        <f t="shared" si="424"/>
        <v>0</v>
      </c>
      <c r="N386" s="198">
        <f t="shared" si="425"/>
        <v>0.39</v>
      </c>
      <c r="O386" s="199">
        <f t="shared" si="426"/>
        <v>0.72</v>
      </c>
      <c r="P386" s="237" t="s">
        <v>670</v>
      </c>
      <c r="Q386" s="439" t="s">
        <v>671</v>
      </c>
      <c r="R386" s="439"/>
      <c r="T386" t="s">
        <v>54</v>
      </c>
      <c r="U386" s="200">
        <f t="shared" si="405"/>
        <v>0.72</v>
      </c>
      <c r="V386" s="200">
        <f t="shared" si="406"/>
        <v>0.07</v>
      </c>
      <c r="W386" s="197">
        <f t="shared" si="407"/>
        <v>0.27</v>
      </c>
      <c r="X386" s="197">
        <f t="shared" si="408"/>
        <v>0</v>
      </c>
      <c r="Y386" s="197">
        <f t="shared" si="409"/>
        <v>0.01</v>
      </c>
      <c r="Z386" s="201">
        <f t="shared" si="410"/>
        <v>0.79</v>
      </c>
      <c r="AA386" s="202">
        <f t="shared" si="411"/>
        <v>1.86</v>
      </c>
      <c r="AB386" s="203">
        <f t="shared" si="412"/>
        <v>0.56</v>
      </c>
      <c r="AC386" s="204">
        <f t="shared" si="413"/>
        <v>2.42</v>
      </c>
      <c r="AD386" s="205">
        <f t="shared" si="414"/>
        <v>0.13</v>
      </c>
      <c r="AE386" s="206">
        <f t="shared" si="415"/>
        <v>2.55</v>
      </c>
      <c r="AG386" s="237" t="s">
        <v>670</v>
      </c>
      <c r="AH386" s="439" t="s">
        <v>671</v>
      </c>
      <c r="AI386" s="439"/>
      <c r="AL386" s="207">
        <f t="shared" si="416"/>
        <v>2.55</v>
      </c>
      <c r="AM386" s="207"/>
      <c r="AN386" s="207">
        <f t="shared" si="417"/>
        <v>1.6800000000000002</v>
      </c>
      <c r="AQ386" s="237" t="s">
        <v>670</v>
      </c>
      <c r="AR386" s="439" t="s">
        <v>671</v>
      </c>
      <c r="AS386" s="439"/>
      <c r="AT386" s="271">
        <v>3</v>
      </c>
      <c r="AU386" s="214">
        <f t="shared" si="403"/>
        <v>0.0606</v>
      </c>
      <c r="AV386" s="269">
        <f>ROUND(AT386*AU386,2)</f>
        <v>0.18</v>
      </c>
      <c r="AW386" s="269">
        <f>ROUND(AV386*($A$16+$A$17)/100,2)</f>
        <v>0</v>
      </c>
      <c r="AX386" s="198">
        <f>SUM(AV386:AW386)</f>
        <v>0.18</v>
      </c>
      <c r="AY386" s="29">
        <v>6</v>
      </c>
      <c r="AZ386" s="214">
        <f t="shared" si="404"/>
        <v>0.0482</v>
      </c>
      <c r="BA386" s="269">
        <f>ROUND(AY386*AZ386,2)</f>
        <v>0.29</v>
      </c>
      <c r="BB386" s="269">
        <f>ROUND(BA386*($A$16+$A$17)/100,2)</f>
        <v>0</v>
      </c>
      <c r="BC386" s="198">
        <f>SUM(BA386:BB386)</f>
        <v>0.29</v>
      </c>
      <c r="BD386" s="199">
        <f>SUM(AX386,BC386)</f>
        <v>0.47</v>
      </c>
      <c r="BE386" s="237" t="s">
        <v>670</v>
      </c>
      <c r="BF386" s="439" t="s">
        <v>671</v>
      </c>
      <c r="BG386" s="439"/>
      <c r="BI386" s="200">
        <f>BD386</f>
        <v>0.47</v>
      </c>
      <c r="BJ386" s="200">
        <f>ROUND(BI386*$S$19,2)</f>
        <v>0.05</v>
      </c>
      <c r="BK386" s="197">
        <f>ROUND(SUM(BI386:BJ386)*$AA$19,2)</f>
        <v>0.18</v>
      </c>
      <c r="BL386" s="197">
        <f>ROUND(SUM(BI386:BJ386)*$AA$21,2)</f>
        <v>0</v>
      </c>
      <c r="BM386" s="197">
        <f>ROUND(SUM(BI386:BJ386)*$AA$20,2)</f>
        <v>0.01</v>
      </c>
      <c r="BN386" s="201">
        <f>ROUND(BI386*$S$20,2)</f>
        <v>0.52</v>
      </c>
      <c r="BO386" s="202">
        <f>SUM(BI386:BN386)</f>
        <v>1.23</v>
      </c>
      <c r="BP386" s="203">
        <f>ROUND(BO386*$S$21,2)</f>
        <v>0.37</v>
      </c>
      <c r="BQ386" s="204">
        <f>SUM(BO386:BP386)</f>
        <v>1.6</v>
      </c>
      <c r="BR386" s="205">
        <f>ROUND(BQ386*$AD$19/95,2)</f>
        <v>0.08</v>
      </c>
      <c r="BS386" s="206">
        <f>SUM(BQ386:BR386)</f>
        <v>1.6800000000000002</v>
      </c>
    </row>
    <row r="387" spans="2:59" ht="38.25" customHeight="1">
      <c r="B387" s="239" t="s">
        <v>672</v>
      </c>
      <c r="C387" s="240" t="s">
        <v>673</v>
      </c>
      <c r="D387" s="251"/>
      <c r="E387" s="255"/>
      <c r="F387" s="256"/>
      <c r="G387" s="253"/>
      <c r="H387" s="253"/>
      <c r="I387" s="254"/>
      <c r="J387" s="255"/>
      <c r="K387" s="255"/>
      <c r="L387" s="253"/>
      <c r="M387" s="253"/>
      <c r="N387" s="254"/>
      <c r="O387" s="220"/>
      <c r="P387" s="239" t="s">
        <v>672</v>
      </c>
      <c r="Q387" s="437" t="s">
        <v>673</v>
      </c>
      <c r="R387" s="437"/>
      <c r="U387" s="253"/>
      <c r="V387" s="253"/>
      <c r="W387" s="253"/>
      <c r="X387" s="253"/>
      <c r="Y387" s="253"/>
      <c r="Z387" s="253"/>
      <c r="AA387" s="253"/>
      <c r="AB387" s="253"/>
      <c r="AC387" s="253"/>
      <c r="AD387" s="253"/>
      <c r="AE387" s="220"/>
      <c r="AG387" s="239" t="s">
        <v>672</v>
      </c>
      <c r="AH387" s="437" t="s">
        <v>673</v>
      </c>
      <c r="AI387" s="437"/>
      <c r="AL387" s="207"/>
      <c r="AM387" s="207"/>
      <c r="AN387" s="207"/>
      <c r="AQ387" s="239" t="s">
        <v>672</v>
      </c>
      <c r="AR387" s="437" t="s">
        <v>673</v>
      </c>
      <c r="AS387" s="437"/>
      <c r="AT387" s="271"/>
      <c r="AU387" s="256"/>
      <c r="AV387" s="254"/>
      <c r="AW387" s="254"/>
      <c r="AX387" s="254"/>
      <c r="AY387" s="252"/>
      <c r="AZ387" s="256"/>
      <c r="BA387" s="254"/>
      <c r="BB387" s="254"/>
      <c r="BC387" s="254"/>
      <c r="BD387" s="220"/>
      <c r="BE387" s="239" t="s">
        <v>672</v>
      </c>
      <c r="BF387" s="437" t="s">
        <v>673</v>
      </c>
      <c r="BG387" s="437"/>
    </row>
    <row r="388" spans="2:71" ht="18.75" customHeight="1">
      <c r="B388" s="237" t="s">
        <v>674</v>
      </c>
      <c r="C388" s="238" t="s">
        <v>675</v>
      </c>
      <c r="D388" s="78" t="s">
        <v>53</v>
      </c>
      <c r="E388" s="190">
        <v>4</v>
      </c>
      <c r="F388" s="214">
        <f>$G$16</f>
        <v>0.0606</v>
      </c>
      <c r="G388" s="197">
        <f>ROUND(E388*F388,2)</f>
        <v>0.24</v>
      </c>
      <c r="H388" s="197">
        <f>ROUND(G388*($A$16+$A$17)/100,2)</f>
        <v>0</v>
      </c>
      <c r="I388" s="198">
        <f>SUM(G388:H388)</f>
        <v>0.24</v>
      </c>
      <c r="J388" s="257">
        <v>7</v>
      </c>
      <c r="K388" s="214">
        <f>$G$19</f>
        <v>0.0482</v>
      </c>
      <c r="L388" s="197">
        <f>ROUND(J388*K388,2)</f>
        <v>0.34</v>
      </c>
      <c r="M388" s="197">
        <f>ROUND(L388*($A$16+$A$17)/100,2)</f>
        <v>0</v>
      </c>
      <c r="N388" s="198">
        <f>SUM(L388:M388)</f>
        <v>0.34</v>
      </c>
      <c r="O388" s="199">
        <f>SUM(I388,N388)</f>
        <v>0.5800000000000001</v>
      </c>
      <c r="P388" s="237" t="s">
        <v>674</v>
      </c>
      <c r="Q388" s="439" t="s">
        <v>675</v>
      </c>
      <c r="R388" s="439"/>
      <c r="T388" t="s">
        <v>54</v>
      </c>
      <c r="U388" s="200">
        <f t="shared" si="405"/>
        <v>0.5800000000000001</v>
      </c>
      <c r="V388" s="200">
        <f t="shared" si="406"/>
        <v>0.06</v>
      </c>
      <c r="W388" s="197">
        <f t="shared" si="407"/>
        <v>0.22</v>
      </c>
      <c r="X388" s="197">
        <f t="shared" si="408"/>
        <v>0</v>
      </c>
      <c r="Y388" s="197">
        <f t="shared" si="409"/>
        <v>0.01</v>
      </c>
      <c r="Z388" s="201">
        <f t="shared" si="410"/>
        <v>0.64</v>
      </c>
      <c r="AA388" s="202">
        <f t="shared" si="411"/>
        <v>1.5100000000000002</v>
      </c>
      <c r="AB388" s="203">
        <f t="shared" si="412"/>
        <v>0.45</v>
      </c>
      <c r="AC388" s="204">
        <f t="shared" si="413"/>
        <v>1.9600000000000002</v>
      </c>
      <c r="AD388" s="205">
        <f t="shared" si="414"/>
        <v>0.1</v>
      </c>
      <c r="AE388" s="206">
        <f t="shared" si="415"/>
        <v>2.06</v>
      </c>
      <c r="AG388" s="237" t="s">
        <v>674</v>
      </c>
      <c r="AH388" s="439" t="s">
        <v>675</v>
      </c>
      <c r="AI388" s="439"/>
      <c r="AL388" s="207">
        <f t="shared" si="416"/>
        <v>2.06</v>
      </c>
      <c r="AM388" s="207"/>
      <c r="AN388" s="207">
        <f t="shared" si="417"/>
        <v>1.33</v>
      </c>
      <c r="AQ388" s="237" t="s">
        <v>674</v>
      </c>
      <c r="AR388" s="439" t="s">
        <v>675</v>
      </c>
      <c r="AS388" s="439"/>
      <c r="AT388" s="271">
        <v>2.5</v>
      </c>
      <c r="AU388" s="214">
        <f t="shared" si="403"/>
        <v>0.0606</v>
      </c>
      <c r="AV388" s="269">
        <f>ROUND(AT388*AU388,2)</f>
        <v>0.15</v>
      </c>
      <c r="AW388" s="269">
        <f>ROUND(AV388*($A$16+$A$17)/100,2)</f>
        <v>0</v>
      </c>
      <c r="AX388" s="198">
        <f>SUM(AV388:AW388)</f>
        <v>0.15</v>
      </c>
      <c r="AY388" s="29">
        <v>4.5</v>
      </c>
      <c r="AZ388" s="214">
        <f t="shared" si="404"/>
        <v>0.0482</v>
      </c>
      <c r="BA388" s="269">
        <f>ROUND(AY388*AZ388,2)</f>
        <v>0.22</v>
      </c>
      <c r="BB388" s="269">
        <f>ROUND(BA388*($A$16+$A$17)/100,2)</f>
        <v>0</v>
      </c>
      <c r="BC388" s="198">
        <f>SUM(BA388:BB388)</f>
        <v>0.22</v>
      </c>
      <c r="BD388" s="199">
        <f>SUM(AX388,BC388)</f>
        <v>0.37</v>
      </c>
      <c r="BE388" s="237" t="s">
        <v>674</v>
      </c>
      <c r="BF388" s="439" t="s">
        <v>675</v>
      </c>
      <c r="BG388" s="439"/>
      <c r="BI388" s="200">
        <f>BD388</f>
        <v>0.37</v>
      </c>
      <c r="BJ388" s="200">
        <f>ROUND(BI388*$S$19,2)</f>
        <v>0.04</v>
      </c>
      <c r="BK388" s="197">
        <f>ROUND(SUM(BI388:BJ388)*$AA$19,2)</f>
        <v>0.14</v>
      </c>
      <c r="BL388" s="197">
        <f>ROUND(SUM(BI388:BJ388)*$AA$21,2)</f>
        <v>0</v>
      </c>
      <c r="BM388" s="197">
        <f>ROUND(SUM(BI388:BJ388)*$AA$20,2)</f>
        <v>0.01</v>
      </c>
      <c r="BN388" s="201">
        <f>ROUND(BI388*$S$20,2)</f>
        <v>0.41</v>
      </c>
      <c r="BO388" s="202">
        <f>SUM(BI388:BN388)</f>
        <v>0.97</v>
      </c>
      <c r="BP388" s="203">
        <f>ROUND(BO388*$S$21,2)</f>
        <v>0.29</v>
      </c>
      <c r="BQ388" s="204">
        <f>SUM(BO388:BP388)</f>
        <v>1.26</v>
      </c>
      <c r="BR388" s="205">
        <f>ROUND(BQ388*$AD$19/95,2)</f>
        <v>0.07</v>
      </c>
      <c r="BS388" s="206">
        <f>SUM(BQ388:BR388)</f>
        <v>1.33</v>
      </c>
    </row>
    <row r="389" spans="2:59" ht="38.25">
      <c r="B389" s="247" t="s">
        <v>1094</v>
      </c>
      <c r="C389" s="248" t="s">
        <v>1109</v>
      </c>
      <c r="D389" s="251"/>
      <c r="E389" s="255"/>
      <c r="F389" s="256"/>
      <c r="G389" s="253"/>
      <c r="H389" s="253"/>
      <c r="I389" s="254"/>
      <c r="J389" s="255"/>
      <c r="K389" s="255"/>
      <c r="L389" s="253"/>
      <c r="M389" s="253"/>
      <c r="N389" s="254"/>
      <c r="O389" s="220"/>
      <c r="P389" s="247" t="s">
        <v>1094</v>
      </c>
      <c r="Q389" s="466" t="s">
        <v>1109</v>
      </c>
      <c r="R389" s="466"/>
      <c r="U389" s="253"/>
      <c r="V389" s="253"/>
      <c r="W389" s="253"/>
      <c r="X389" s="253"/>
      <c r="Y389" s="253"/>
      <c r="Z389" s="253"/>
      <c r="AA389" s="253"/>
      <c r="AB389" s="253"/>
      <c r="AC389" s="253"/>
      <c r="AD389" s="253"/>
      <c r="AE389" s="220"/>
      <c r="AG389" s="247" t="s">
        <v>1094</v>
      </c>
      <c r="AH389" s="248" t="s">
        <v>1109</v>
      </c>
      <c r="AI389" s="248"/>
      <c r="AL389" s="207"/>
      <c r="AM389" s="207"/>
      <c r="AN389" s="207"/>
      <c r="AQ389" s="247" t="s">
        <v>1094</v>
      </c>
      <c r="AR389" s="248" t="s">
        <v>1109</v>
      </c>
      <c r="AS389" s="248"/>
      <c r="AT389" s="271"/>
      <c r="AU389" s="256"/>
      <c r="AV389" s="254"/>
      <c r="AW389" s="254"/>
      <c r="AX389" s="254"/>
      <c r="AY389" s="252"/>
      <c r="AZ389" s="256"/>
      <c r="BA389" s="254"/>
      <c r="BB389" s="254"/>
      <c r="BC389" s="254"/>
      <c r="BD389" s="220"/>
      <c r="BE389" s="247" t="s">
        <v>1094</v>
      </c>
      <c r="BF389" s="248" t="s">
        <v>1109</v>
      </c>
      <c r="BG389" s="248"/>
    </row>
    <row r="390" spans="2:71" ht="15.75" customHeight="1">
      <c r="B390" s="245" t="s">
        <v>1095</v>
      </c>
      <c r="C390" s="246" t="s">
        <v>1110</v>
      </c>
      <c r="D390" s="78" t="s">
        <v>53</v>
      </c>
      <c r="E390" s="257">
        <v>5</v>
      </c>
      <c r="F390" s="214">
        <f>$G$16</f>
        <v>0.0606</v>
      </c>
      <c r="G390" s="197">
        <f>ROUND(E390*F390,2)</f>
        <v>0.3</v>
      </c>
      <c r="H390" s="197">
        <f>ROUND(G390*($A$16+$A$17)/100,2)</f>
        <v>0</v>
      </c>
      <c r="I390" s="198">
        <f>SUM(G390:H390)</f>
        <v>0.3</v>
      </c>
      <c r="J390" s="257">
        <v>2</v>
      </c>
      <c r="K390" s="214">
        <f>$G$19</f>
        <v>0.0482</v>
      </c>
      <c r="L390" s="197">
        <f>ROUND(J390*K390,2)</f>
        <v>0.1</v>
      </c>
      <c r="M390" s="197">
        <f>ROUND(L390*($A$16+$A$17)/100,2)</f>
        <v>0</v>
      </c>
      <c r="N390" s="198">
        <f>SUM(L390:M390)</f>
        <v>0.1</v>
      </c>
      <c r="O390" s="199">
        <f>SUM(I390,N390)</f>
        <v>0.4</v>
      </c>
      <c r="P390" s="245" t="s">
        <v>1095</v>
      </c>
      <c r="Q390" s="467" t="s">
        <v>1110</v>
      </c>
      <c r="R390" s="467"/>
      <c r="T390" t="s">
        <v>54</v>
      </c>
      <c r="U390" s="200">
        <f t="shared" si="405"/>
        <v>0.4</v>
      </c>
      <c r="V390" s="200">
        <f t="shared" si="406"/>
        <v>0.04</v>
      </c>
      <c r="W390" s="197">
        <f t="shared" si="407"/>
        <v>0.15</v>
      </c>
      <c r="X390" s="197">
        <f t="shared" si="408"/>
        <v>0</v>
      </c>
      <c r="Y390" s="197">
        <f t="shared" si="409"/>
        <v>0.01</v>
      </c>
      <c r="Z390" s="201">
        <f t="shared" si="410"/>
        <v>0.44</v>
      </c>
      <c r="AA390" s="202">
        <f t="shared" si="411"/>
        <v>1.04</v>
      </c>
      <c r="AB390" s="203">
        <f t="shared" si="412"/>
        <v>0.31</v>
      </c>
      <c r="AC390" s="204">
        <f t="shared" si="413"/>
        <v>1.35</v>
      </c>
      <c r="AD390" s="205">
        <f t="shared" si="414"/>
        <v>0.07</v>
      </c>
      <c r="AE390" s="206">
        <f t="shared" si="415"/>
        <v>1.4200000000000002</v>
      </c>
      <c r="AG390" s="245" t="s">
        <v>1095</v>
      </c>
      <c r="AH390" s="246" t="s">
        <v>1110</v>
      </c>
      <c r="AI390" s="246"/>
      <c r="AL390" s="207">
        <f t="shared" si="416"/>
        <v>1.4200000000000002</v>
      </c>
      <c r="AM390" s="207"/>
      <c r="AN390" s="207">
        <f t="shared" si="417"/>
        <v>1.4200000000000002</v>
      </c>
      <c r="AQ390" s="245" t="s">
        <v>1095</v>
      </c>
      <c r="AR390" s="246" t="s">
        <v>1110</v>
      </c>
      <c r="AS390" s="246"/>
      <c r="AT390" s="271">
        <v>5</v>
      </c>
      <c r="AU390" s="214">
        <f t="shared" si="403"/>
        <v>0.0606</v>
      </c>
      <c r="AV390" s="269">
        <f>ROUND(AT390*AU390,2)</f>
        <v>0.3</v>
      </c>
      <c r="AW390" s="269">
        <f>ROUND(AV390*($A$16+$A$17)/100,2)</f>
        <v>0</v>
      </c>
      <c r="AX390" s="198">
        <f>SUM(AV390:AW390)</f>
        <v>0.3</v>
      </c>
      <c r="AY390" s="29">
        <v>2</v>
      </c>
      <c r="AZ390" s="214">
        <f t="shared" si="404"/>
        <v>0.0482</v>
      </c>
      <c r="BA390" s="269">
        <f>ROUND(AY390*AZ390,2)</f>
        <v>0.1</v>
      </c>
      <c r="BB390" s="269">
        <f>ROUND(BA390*($A$16+$A$17)/100,2)</f>
        <v>0</v>
      </c>
      <c r="BC390" s="198">
        <f>SUM(BA390:BB390)</f>
        <v>0.1</v>
      </c>
      <c r="BD390" s="199">
        <f>SUM(AX390,BC390)</f>
        <v>0.4</v>
      </c>
      <c r="BE390" s="245" t="s">
        <v>1095</v>
      </c>
      <c r="BF390" s="246" t="s">
        <v>1110</v>
      </c>
      <c r="BG390" s="246"/>
      <c r="BI390" s="200">
        <f>BD390</f>
        <v>0.4</v>
      </c>
      <c r="BJ390" s="200">
        <f>ROUND(BI390*$S$19,2)</f>
        <v>0.04</v>
      </c>
      <c r="BK390" s="197">
        <f>ROUND(SUM(BI390:BJ390)*$AA$19,2)</f>
        <v>0.15</v>
      </c>
      <c r="BL390" s="197">
        <f>ROUND(SUM(BI390:BJ390)*$AA$21,2)</f>
        <v>0</v>
      </c>
      <c r="BM390" s="197">
        <f>ROUND(SUM(BI390:BJ390)*$AA$20,2)</f>
        <v>0.01</v>
      </c>
      <c r="BN390" s="201">
        <f>ROUND(BI390*$S$20,2)</f>
        <v>0.44</v>
      </c>
      <c r="BO390" s="202">
        <f>SUM(BI390:BN390)</f>
        <v>1.04</v>
      </c>
      <c r="BP390" s="203">
        <f>ROUND(BO390*$S$21,2)</f>
        <v>0.31</v>
      </c>
      <c r="BQ390" s="204">
        <f>SUM(BO390:BP390)</f>
        <v>1.35</v>
      </c>
      <c r="BR390" s="205">
        <f>ROUND(BQ390*$AD$19/95,2)</f>
        <v>0.07</v>
      </c>
      <c r="BS390" s="206">
        <f>SUM(BQ390:BR390)</f>
        <v>1.4200000000000002</v>
      </c>
    </row>
    <row r="391" spans="2:59" ht="12.75">
      <c r="B391" s="239" t="s">
        <v>1096</v>
      </c>
      <c r="C391" s="240" t="s">
        <v>1111</v>
      </c>
      <c r="D391" s="251"/>
      <c r="E391" s="255"/>
      <c r="F391" s="256"/>
      <c r="G391" s="253"/>
      <c r="H391" s="253"/>
      <c r="I391" s="254"/>
      <c r="J391" s="255"/>
      <c r="K391" s="255"/>
      <c r="L391" s="253"/>
      <c r="M391" s="253"/>
      <c r="N391" s="254"/>
      <c r="O391" s="220"/>
      <c r="P391" s="239" t="s">
        <v>1096</v>
      </c>
      <c r="Q391" s="464" t="s">
        <v>1111</v>
      </c>
      <c r="R391" s="464"/>
      <c r="U391" s="253"/>
      <c r="V391" s="253"/>
      <c r="W391" s="253"/>
      <c r="X391" s="253"/>
      <c r="Y391" s="253"/>
      <c r="Z391" s="253"/>
      <c r="AA391" s="253"/>
      <c r="AB391" s="253"/>
      <c r="AC391" s="253"/>
      <c r="AD391" s="253"/>
      <c r="AE391" s="220"/>
      <c r="AG391" s="239" t="s">
        <v>1096</v>
      </c>
      <c r="AH391" s="240" t="s">
        <v>1111</v>
      </c>
      <c r="AI391" s="240"/>
      <c r="AL391" s="207"/>
      <c r="AM391" s="207"/>
      <c r="AN391" s="207"/>
      <c r="AQ391" s="239" t="s">
        <v>1096</v>
      </c>
      <c r="AR391" s="240" t="s">
        <v>1111</v>
      </c>
      <c r="AS391" s="240"/>
      <c r="AT391" s="271"/>
      <c r="AU391" s="256"/>
      <c r="AV391" s="254"/>
      <c r="AW391" s="254"/>
      <c r="AX391" s="254"/>
      <c r="AY391" s="252"/>
      <c r="AZ391" s="256"/>
      <c r="BA391" s="254"/>
      <c r="BB391" s="254"/>
      <c r="BC391" s="254"/>
      <c r="BD391" s="220"/>
      <c r="BE391" s="239" t="s">
        <v>1096</v>
      </c>
      <c r="BF391" s="240" t="s">
        <v>1111</v>
      </c>
      <c r="BG391" s="240"/>
    </row>
    <row r="392" spans="2:71" ht="12.75">
      <c r="B392" s="237" t="s">
        <v>1097</v>
      </c>
      <c r="C392" s="238" t="s">
        <v>1112</v>
      </c>
      <c r="D392" s="78" t="s">
        <v>53</v>
      </c>
      <c r="E392" s="257">
        <v>4</v>
      </c>
      <c r="F392" s="214">
        <f>$G$16</f>
        <v>0.0606</v>
      </c>
      <c r="G392" s="197">
        <f>ROUND(E392*F392,2)</f>
        <v>0.24</v>
      </c>
      <c r="H392" s="197">
        <f>ROUND(G392*($A$16+$A$17)/100,2)</f>
        <v>0</v>
      </c>
      <c r="I392" s="198">
        <f>SUM(G392:H392)</f>
        <v>0.24</v>
      </c>
      <c r="J392" s="257">
        <v>6</v>
      </c>
      <c r="K392" s="214">
        <f>$G$19</f>
        <v>0.0482</v>
      </c>
      <c r="L392" s="197">
        <f>ROUND(J392*K392,2)</f>
        <v>0.29</v>
      </c>
      <c r="M392" s="197">
        <f>ROUND(L392*($A$16+$A$17)/100,2)</f>
        <v>0</v>
      </c>
      <c r="N392" s="198">
        <f>SUM(L392:M392)</f>
        <v>0.29</v>
      </c>
      <c r="O392" s="199">
        <f>SUM(I392,N392)</f>
        <v>0.53</v>
      </c>
      <c r="P392" s="237" t="s">
        <v>1097</v>
      </c>
      <c r="Q392" s="465" t="s">
        <v>1112</v>
      </c>
      <c r="R392" s="465"/>
      <c r="T392" t="s">
        <v>719</v>
      </c>
      <c r="U392" s="200">
        <f>O392</f>
        <v>0.53</v>
      </c>
      <c r="V392" s="200">
        <f>ROUND(U392*$S$19,2)</f>
        <v>0.05</v>
      </c>
      <c r="W392" s="197">
        <f>ROUND(SUM(U392:V392)*$AA$19,2)</f>
        <v>0.2</v>
      </c>
      <c r="X392" s="197">
        <f>ROUND(SUM(U392:V392)*$AA$21,2)</f>
        <v>0</v>
      </c>
      <c r="Y392" s="197">
        <f>ROUND(SUM(U392:V392)*$AA$20,2)</f>
        <v>0.01</v>
      </c>
      <c r="Z392" s="201">
        <f>ROUND(U392*$S$20,2)</f>
        <v>0.58</v>
      </c>
      <c r="AA392" s="202">
        <f>SUM(U392:Z392)</f>
        <v>1.37</v>
      </c>
      <c r="AB392" s="203">
        <f>ROUND(AA392*$S$21,2)</f>
        <v>0.41</v>
      </c>
      <c r="AC392" s="204">
        <f>SUM(AA392:AB392)</f>
        <v>1.78</v>
      </c>
      <c r="AD392" s="205">
        <f>ROUND(AC392*$AD$19/95,2)</f>
        <v>0.09</v>
      </c>
      <c r="AE392" s="206">
        <f>SUM(AC392:AD392)</f>
        <v>1.87</v>
      </c>
      <c r="AG392" s="237" t="s">
        <v>1097</v>
      </c>
      <c r="AH392" s="238" t="s">
        <v>1112</v>
      </c>
      <c r="AI392" s="238"/>
      <c r="AL392" s="207">
        <f>AE392</f>
        <v>1.87</v>
      </c>
      <c r="AM392" s="207"/>
      <c r="AN392" s="207">
        <f>BS392</f>
        <v>1.87</v>
      </c>
      <c r="AQ392" s="237" t="s">
        <v>1097</v>
      </c>
      <c r="AR392" s="238" t="s">
        <v>1112</v>
      </c>
      <c r="AS392" s="238"/>
      <c r="AT392" s="271">
        <v>4</v>
      </c>
      <c r="AU392" s="214">
        <f>$AV$16</f>
        <v>0.0606</v>
      </c>
      <c r="AV392" s="269">
        <f>ROUND(AT392*AU392,2)</f>
        <v>0.24</v>
      </c>
      <c r="AW392" s="269">
        <f>ROUND(AV392*($A$16+$A$17)/100,2)</f>
        <v>0</v>
      </c>
      <c r="AX392" s="198">
        <f>SUM(AV392:AW392)</f>
        <v>0.24</v>
      </c>
      <c r="AY392" s="29">
        <v>6</v>
      </c>
      <c r="AZ392" s="214">
        <f>$AV$19</f>
        <v>0.0482</v>
      </c>
      <c r="BA392" s="269">
        <f>ROUND(AY392*AZ392,2)</f>
        <v>0.29</v>
      </c>
      <c r="BB392" s="269">
        <f>ROUND(BA392*($A$16+$A$17)/100,2)</f>
        <v>0</v>
      </c>
      <c r="BC392" s="198">
        <f>SUM(BA392:BB392)</f>
        <v>0.29</v>
      </c>
      <c r="BD392" s="199">
        <f>SUM(AX392,BC392)</f>
        <v>0.53</v>
      </c>
      <c r="BE392" s="237" t="s">
        <v>1097</v>
      </c>
      <c r="BF392" s="238" t="s">
        <v>1112</v>
      </c>
      <c r="BG392" s="238"/>
      <c r="BI392" s="200">
        <f>BD392</f>
        <v>0.53</v>
      </c>
      <c r="BJ392" s="200">
        <f>ROUND(BI392*$S$19,2)</f>
        <v>0.05</v>
      </c>
      <c r="BK392" s="197">
        <f>ROUND(SUM(BI392:BJ392)*$AA$19,2)</f>
        <v>0.2</v>
      </c>
      <c r="BL392" s="197">
        <f>ROUND(SUM(BI392:BJ392)*$AA$21,2)</f>
        <v>0</v>
      </c>
      <c r="BM392" s="197">
        <f>ROUND(SUM(BI392:BJ392)*$AA$20,2)</f>
        <v>0.01</v>
      </c>
      <c r="BN392" s="201">
        <f>ROUND(BI392*$S$20,2)</f>
        <v>0.58</v>
      </c>
      <c r="BO392" s="202">
        <f>SUM(BI392:BN392)</f>
        <v>1.37</v>
      </c>
      <c r="BP392" s="203">
        <f>ROUND(BO392*$S$21,2)</f>
        <v>0.41</v>
      </c>
      <c r="BQ392" s="204">
        <f>SUM(BO392:BP392)</f>
        <v>1.78</v>
      </c>
      <c r="BR392" s="205">
        <f>ROUND(BQ392*$AD$19/95,2)</f>
        <v>0.09</v>
      </c>
      <c r="BS392" s="206">
        <f>SUM(BQ392:BR392)</f>
        <v>1.87</v>
      </c>
    </row>
    <row r="393" spans="2:71" ht="12.75">
      <c r="B393" s="237" t="s">
        <v>1098</v>
      </c>
      <c r="C393" s="238" t="s">
        <v>1113</v>
      </c>
      <c r="D393" s="78" t="s">
        <v>53</v>
      </c>
      <c r="E393" s="257">
        <v>5</v>
      </c>
      <c r="F393" s="214">
        <f>$G$16</f>
        <v>0.0606</v>
      </c>
      <c r="G393" s="197">
        <f>ROUND(E393*F393,2)</f>
        <v>0.3</v>
      </c>
      <c r="H393" s="197">
        <f>ROUND(G393*($A$16+$A$17)/100,2)</f>
        <v>0</v>
      </c>
      <c r="I393" s="198">
        <f>SUM(G393:H393)</f>
        <v>0.3</v>
      </c>
      <c r="J393" s="257">
        <v>10</v>
      </c>
      <c r="K393" s="214">
        <f>$G$19</f>
        <v>0.0482</v>
      </c>
      <c r="L393" s="197">
        <f>ROUND(J393*K393,2)</f>
        <v>0.48</v>
      </c>
      <c r="M393" s="197">
        <f>ROUND(L393*($A$16+$A$17)/100,2)</f>
        <v>0</v>
      </c>
      <c r="N393" s="198">
        <f>SUM(L393:M393)</f>
        <v>0.48</v>
      </c>
      <c r="O393" s="199">
        <f>SUM(I393,N393)</f>
        <v>0.78</v>
      </c>
      <c r="P393" s="237" t="s">
        <v>1098</v>
      </c>
      <c r="Q393" s="465" t="s">
        <v>1113</v>
      </c>
      <c r="R393" s="465"/>
      <c r="T393" t="s">
        <v>719</v>
      </c>
      <c r="U393" s="200">
        <f t="shared" si="405"/>
        <v>0.78</v>
      </c>
      <c r="V393" s="200">
        <f t="shared" si="406"/>
        <v>0.08</v>
      </c>
      <c r="W393" s="197">
        <f t="shared" si="407"/>
        <v>0.29</v>
      </c>
      <c r="X393" s="197">
        <f t="shared" si="408"/>
        <v>0</v>
      </c>
      <c r="Y393" s="197">
        <f t="shared" si="409"/>
        <v>0.01</v>
      </c>
      <c r="Z393" s="201">
        <f t="shared" si="410"/>
        <v>0.86</v>
      </c>
      <c r="AA393" s="202">
        <f t="shared" si="411"/>
        <v>2.02</v>
      </c>
      <c r="AB393" s="203">
        <f t="shared" si="412"/>
        <v>0.61</v>
      </c>
      <c r="AC393" s="204">
        <f t="shared" si="413"/>
        <v>2.63</v>
      </c>
      <c r="AD393" s="205">
        <f t="shared" si="414"/>
        <v>0.14</v>
      </c>
      <c r="AE393" s="206">
        <f t="shared" si="415"/>
        <v>2.77</v>
      </c>
      <c r="AG393" s="237" t="s">
        <v>1098</v>
      </c>
      <c r="AH393" s="238" t="s">
        <v>1113</v>
      </c>
      <c r="AI393" s="238"/>
      <c r="AL393" s="207">
        <f t="shared" si="416"/>
        <v>2.77</v>
      </c>
      <c r="AM393" s="207"/>
      <c r="AN393" s="207">
        <f t="shared" si="417"/>
        <v>2.77</v>
      </c>
      <c r="AQ393" s="237" t="s">
        <v>1098</v>
      </c>
      <c r="AR393" s="238" t="s">
        <v>1113</v>
      </c>
      <c r="AS393" s="238"/>
      <c r="AT393" s="271">
        <v>5</v>
      </c>
      <c r="AU393" s="214">
        <f>$AV$16</f>
        <v>0.0606</v>
      </c>
      <c r="AV393" s="269">
        <f>ROUND(AT393*AU393,2)</f>
        <v>0.3</v>
      </c>
      <c r="AW393" s="269">
        <f>ROUND(AV393*($A$16+$A$17)/100,2)</f>
        <v>0</v>
      </c>
      <c r="AX393" s="198">
        <f>SUM(AV393:AW393)</f>
        <v>0.3</v>
      </c>
      <c r="AY393" s="29">
        <v>10</v>
      </c>
      <c r="AZ393" s="214">
        <f>$AV$19</f>
        <v>0.0482</v>
      </c>
      <c r="BA393" s="269">
        <f>ROUND(AY393*AZ393,2)</f>
        <v>0.48</v>
      </c>
      <c r="BB393" s="269">
        <f>ROUND(BA393*($A$16+$A$17)/100,2)</f>
        <v>0</v>
      </c>
      <c r="BC393" s="198">
        <f>SUM(BA393:BB393)</f>
        <v>0.48</v>
      </c>
      <c r="BD393" s="199">
        <f>SUM(AX393,BC393)</f>
        <v>0.78</v>
      </c>
      <c r="BE393" s="237" t="s">
        <v>1098</v>
      </c>
      <c r="BF393" s="238" t="s">
        <v>1113</v>
      </c>
      <c r="BG393" s="238"/>
      <c r="BI393" s="200">
        <f>BD393</f>
        <v>0.78</v>
      </c>
      <c r="BJ393" s="200">
        <f>ROUND(BI393*$S$19,2)</f>
        <v>0.08</v>
      </c>
      <c r="BK393" s="197">
        <f>ROUND(SUM(BI393:BJ393)*$AA$19,2)</f>
        <v>0.29</v>
      </c>
      <c r="BL393" s="197">
        <f>ROUND(SUM(BI393:BJ393)*$AA$21,2)</f>
        <v>0</v>
      </c>
      <c r="BM393" s="197">
        <f>ROUND(SUM(BI393:BJ393)*$AA$20,2)</f>
        <v>0.01</v>
      </c>
      <c r="BN393" s="201">
        <f>ROUND(BI393*$S$20,2)</f>
        <v>0.86</v>
      </c>
      <c r="BO393" s="202">
        <f>SUM(BI393:BN393)</f>
        <v>2.02</v>
      </c>
      <c r="BP393" s="203">
        <f>ROUND(BO393*$S$21,2)</f>
        <v>0.61</v>
      </c>
      <c r="BQ393" s="204">
        <f>SUM(BO393:BP393)</f>
        <v>2.63</v>
      </c>
      <c r="BR393" s="205">
        <f>ROUND(BQ393*$AD$19/95,2)</f>
        <v>0.14</v>
      </c>
      <c r="BS393" s="206">
        <f>SUM(BQ393:BR393)</f>
        <v>2.77</v>
      </c>
    </row>
    <row r="394" spans="2:71" ht="15" customHeight="1">
      <c r="B394" s="237" t="s">
        <v>1099</v>
      </c>
      <c r="C394" s="238" t="s">
        <v>1114</v>
      </c>
      <c r="D394" s="78" t="s">
        <v>53</v>
      </c>
      <c r="E394" s="257">
        <v>4</v>
      </c>
      <c r="F394" s="214">
        <f>$G$16</f>
        <v>0.0606</v>
      </c>
      <c r="G394" s="197">
        <f>ROUND(E394*F394,2)</f>
        <v>0.24</v>
      </c>
      <c r="H394" s="197">
        <f>ROUND(G394*($A$16+$A$17)/100,2)</f>
        <v>0</v>
      </c>
      <c r="I394" s="198">
        <f>SUM(G394:H394)</f>
        <v>0.24</v>
      </c>
      <c r="J394" s="257">
        <v>6</v>
      </c>
      <c r="K394" s="214">
        <f>$G$19</f>
        <v>0.0482</v>
      </c>
      <c r="L394" s="197">
        <f>ROUND(J394*K394,2)</f>
        <v>0.29</v>
      </c>
      <c r="M394" s="197">
        <f>ROUND(L394*($A$16+$A$17)/100,2)</f>
        <v>0</v>
      </c>
      <c r="N394" s="198">
        <f>SUM(L394:M394)</f>
        <v>0.29</v>
      </c>
      <c r="O394" s="199">
        <f>SUM(I394,N394)</f>
        <v>0.53</v>
      </c>
      <c r="P394" s="237" t="s">
        <v>1099</v>
      </c>
      <c r="Q394" s="465" t="s">
        <v>1114</v>
      </c>
      <c r="R394" s="465"/>
      <c r="T394" t="s">
        <v>719</v>
      </c>
      <c r="U394" s="200">
        <f t="shared" si="405"/>
        <v>0.53</v>
      </c>
      <c r="V394" s="200">
        <f t="shared" si="406"/>
        <v>0.05</v>
      </c>
      <c r="W394" s="197">
        <f t="shared" si="407"/>
        <v>0.2</v>
      </c>
      <c r="X394" s="197">
        <f t="shared" si="408"/>
        <v>0</v>
      </c>
      <c r="Y394" s="197">
        <f t="shared" si="409"/>
        <v>0.01</v>
      </c>
      <c r="Z394" s="201">
        <f t="shared" si="410"/>
        <v>0.58</v>
      </c>
      <c r="AA394" s="202">
        <f t="shared" si="411"/>
        <v>1.37</v>
      </c>
      <c r="AB394" s="203">
        <f t="shared" si="412"/>
        <v>0.41</v>
      </c>
      <c r="AC394" s="204">
        <f t="shared" si="413"/>
        <v>1.78</v>
      </c>
      <c r="AD394" s="205">
        <f t="shared" si="414"/>
        <v>0.09</v>
      </c>
      <c r="AE394" s="206">
        <f t="shared" si="415"/>
        <v>1.87</v>
      </c>
      <c r="AG394" s="237" t="s">
        <v>1099</v>
      </c>
      <c r="AH394" s="238" t="s">
        <v>1114</v>
      </c>
      <c r="AI394" s="238"/>
      <c r="AL394" s="207">
        <f t="shared" si="416"/>
        <v>1.87</v>
      </c>
      <c r="AM394" s="207"/>
      <c r="AN394" s="207">
        <f t="shared" si="417"/>
        <v>1.87</v>
      </c>
      <c r="AQ394" s="237" t="s">
        <v>1099</v>
      </c>
      <c r="AR394" s="238" t="s">
        <v>1114</v>
      </c>
      <c r="AS394" s="238"/>
      <c r="AT394" s="271">
        <v>4</v>
      </c>
      <c r="AU394" s="214">
        <f>$AV$16</f>
        <v>0.0606</v>
      </c>
      <c r="AV394" s="269">
        <f>ROUND(AT394*AU394,2)</f>
        <v>0.24</v>
      </c>
      <c r="AW394" s="269">
        <f>ROUND(AV394*($A$16+$A$17)/100,2)</f>
        <v>0</v>
      </c>
      <c r="AX394" s="198">
        <f>SUM(AV394:AW394)</f>
        <v>0.24</v>
      </c>
      <c r="AY394" s="29">
        <v>6</v>
      </c>
      <c r="AZ394" s="214">
        <f>$AV$19</f>
        <v>0.0482</v>
      </c>
      <c r="BA394" s="269">
        <f>ROUND(AY394*AZ394,2)</f>
        <v>0.29</v>
      </c>
      <c r="BB394" s="269">
        <f>ROUND(BA394*($A$16+$A$17)/100,2)</f>
        <v>0</v>
      </c>
      <c r="BC394" s="198">
        <f>SUM(BA394:BB394)</f>
        <v>0.29</v>
      </c>
      <c r="BD394" s="199">
        <f>SUM(AX394,BC394)</f>
        <v>0.53</v>
      </c>
      <c r="BE394" s="237" t="s">
        <v>1099</v>
      </c>
      <c r="BF394" s="238" t="s">
        <v>1114</v>
      </c>
      <c r="BG394" s="238"/>
      <c r="BI394" s="200">
        <f>BD394</f>
        <v>0.53</v>
      </c>
      <c r="BJ394" s="200">
        <f>ROUND(BI394*$S$19,2)</f>
        <v>0.05</v>
      </c>
      <c r="BK394" s="197">
        <f>ROUND(SUM(BI394:BJ394)*$AA$19,2)</f>
        <v>0.2</v>
      </c>
      <c r="BL394" s="197">
        <f>ROUND(SUM(BI394:BJ394)*$AA$21,2)</f>
        <v>0</v>
      </c>
      <c r="BM394" s="197">
        <f>ROUND(SUM(BI394:BJ394)*$AA$20,2)</f>
        <v>0.01</v>
      </c>
      <c r="BN394" s="201">
        <f>ROUND(BI394*$S$20,2)</f>
        <v>0.58</v>
      </c>
      <c r="BO394" s="202">
        <f>SUM(BI394:BN394)</f>
        <v>1.37</v>
      </c>
      <c r="BP394" s="203">
        <f>ROUND(BO394*$S$21,2)</f>
        <v>0.41</v>
      </c>
      <c r="BQ394" s="204">
        <f>SUM(BO394:BP394)</f>
        <v>1.78</v>
      </c>
      <c r="BR394" s="205">
        <f>ROUND(BQ394*$AD$19/95,2)</f>
        <v>0.09</v>
      </c>
      <c r="BS394" s="206">
        <f>SUM(BQ394:BR394)</f>
        <v>1.87</v>
      </c>
    </row>
    <row r="395" spans="2:59" ht="25.5">
      <c r="B395" s="239" t="s">
        <v>1100</v>
      </c>
      <c r="C395" s="240" t="s">
        <v>1115</v>
      </c>
      <c r="D395" s="251"/>
      <c r="E395" s="255"/>
      <c r="F395" s="256"/>
      <c r="G395" s="253"/>
      <c r="H395" s="253"/>
      <c r="I395" s="254"/>
      <c r="J395" s="255"/>
      <c r="K395" s="255"/>
      <c r="L395" s="253"/>
      <c r="M395" s="253"/>
      <c r="N395" s="254"/>
      <c r="O395" s="220"/>
      <c r="P395" s="239" t="s">
        <v>1100</v>
      </c>
      <c r="Q395" s="464" t="s">
        <v>1115</v>
      </c>
      <c r="R395" s="464"/>
      <c r="U395" s="253"/>
      <c r="V395" s="253"/>
      <c r="W395" s="253"/>
      <c r="X395" s="253"/>
      <c r="Y395" s="253"/>
      <c r="Z395" s="253"/>
      <c r="AA395" s="253"/>
      <c r="AB395" s="253"/>
      <c r="AC395" s="253"/>
      <c r="AD395" s="253"/>
      <c r="AE395" s="220"/>
      <c r="AG395" s="239" t="s">
        <v>1100</v>
      </c>
      <c r="AH395" s="240" t="s">
        <v>1115</v>
      </c>
      <c r="AI395" s="240"/>
      <c r="AL395" s="207"/>
      <c r="AM395" s="207"/>
      <c r="AN395" s="207"/>
      <c r="AQ395" s="239" t="s">
        <v>1100</v>
      </c>
      <c r="AR395" s="240" t="s">
        <v>1115</v>
      </c>
      <c r="AS395" s="240"/>
      <c r="AT395" s="271"/>
      <c r="AU395" s="256"/>
      <c r="AV395" s="254"/>
      <c r="AW395" s="254"/>
      <c r="AX395" s="254"/>
      <c r="AY395" s="252"/>
      <c r="AZ395" s="256"/>
      <c r="BA395" s="254"/>
      <c r="BB395" s="254"/>
      <c r="BC395" s="254"/>
      <c r="BD395" s="220"/>
      <c r="BE395" s="239" t="s">
        <v>1100</v>
      </c>
      <c r="BF395" s="240" t="s">
        <v>1115</v>
      </c>
      <c r="BG395" s="240"/>
    </row>
    <row r="396" spans="2:71" ht="12.75">
      <c r="B396" s="237" t="s">
        <v>1101</v>
      </c>
      <c r="C396" s="238" t="s">
        <v>1116</v>
      </c>
      <c r="D396" s="78" t="s">
        <v>53</v>
      </c>
      <c r="E396" s="257">
        <v>4</v>
      </c>
      <c r="F396" s="214">
        <f>$G$16</f>
        <v>0.0606</v>
      </c>
      <c r="G396" s="197">
        <f>ROUND(E396*F396,2)</f>
        <v>0.24</v>
      </c>
      <c r="H396" s="197">
        <f>ROUND(G396*($A$16+$A$17)/100,2)</f>
        <v>0</v>
      </c>
      <c r="I396" s="198">
        <f>SUM(G396:H396)</f>
        <v>0.24</v>
      </c>
      <c r="J396" s="257">
        <v>6</v>
      </c>
      <c r="K396" s="214">
        <f>$G$19</f>
        <v>0.0482</v>
      </c>
      <c r="L396" s="197">
        <f>ROUND(J396*K396,2)</f>
        <v>0.29</v>
      </c>
      <c r="M396" s="197">
        <f>ROUND(L396*($A$16+$A$17)/100,2)</f>
        <v>0</v>
      </c>
      <c r="N396" s="198">
        <f>SUM(L396:M396)</f>
        <v>0.29</v>
      </c>
      <c r="O396" s="199">
        <f>SUM(I396,N396)</f>
        <v>0.53</v>
      </c>
      <c r="P396" s="237" t="s">
        <v>1101</v>
      </c>
      <c r="Q396" s="465" t="s">
        <v>1116</v>
      </c>
      <c r="R396" s="465"/>
      <c r="T396" t="s">
        <v>719</v>
      </c>
      <c r="U396" s="200">
        <f>O396</f>
        <v>0.53</v>
      </c>
      <c r="V396" s="200">
        <f>ROUND(U396*$S$19,2)</f>
        <v>0.05</v>
      </c>
      <c r="W396" s="197">
        <f>ROUND(SUM(U396:V396)*$AA$19,2)</f>
        <v>0.2</v>
      </c>
      <c r="X396" s="197">
        <f>ROUND(SUM(U396:V396)*$AA$21,2)</f>
        <v>0</v>
      </c>
      <c r="Y396" s="197">
        <f>ROUND(SUM(U396:V396)*$AA$20,2)</f>
        <v>0.01</v>
      </c>
      <c r="Z396" s="201">
        <f>ROUND(U396*$S$20,2)</f>
        <v>0.58</v>
      </c>
      <c r="AA396" s="202">
        <f>SUM(U396:Z396)</f>
        <v>1.37</v>
      </c>
      <c r="AB396" s="203">
        <f>ROUND(AA396*$S$21,2)</f>
        <v>0.41</v>
      </c>
      <c r="AC396" s="204">
        <f>SUM(AA396:AB396)</f>
        <v>1.78</v>
      </c>
      <c r="AD396" s="205">
        <f>ROUND(AC396*$AD$19/95,2)</f>
        <v>0.09</v>
      </c>
      <c r="AE396" s="206">
        <f>SUM(AC396:AD396)</f>
        <v>1.87</v>
      </c>
      <c r="AG396" s="237" t="s">
        <v>1101</v>
      </c>
      <c r="AH396" s="238" t="s">
        <v>1116</v>
      </c>
      <c r="AI396" s="238"/>
      <c r="AL396" s="207">
        <f>AE396</f>
        <v>1.87</v>
      </c>
      <c r="AM396" s="207"/>
      <c r="AN396" s="207">
        <f>BS396</f>
        <v>1.87</v>
      </c>
      <c r="AQ396" s="237" t="s">
        <v>1101</v>
      </c>
      <c r="AR396" s="238" t="s">
        <v>1116</v>
      </c>
      <c r="AS396" s="238"/>
      <c r="AT396" s="271">
        <v>4</v>
      </c>
      <c r="AU396" s="214">
        <f>$AV$16</f>
        <v>0.0606</v>
      </c>
      <c r="AV396" s="269">
        <f>ROUND(AT396*AU396,2)</f>
        <v>0.24</v>
      </c>
      <c r="AW396" s="269">
        <f>ROUND(AV396*($A$16+$A$17)/100,2)</f>
        <v>0</v>
      </c>
      <c r="AX396" s="198">
        <f>SUM(AV396:AW396)</f>
        <v>0.24</v>
      </c>
      <c r="AY396" s="29">
        <v>6</v>
      </c>
      <c r="AZ396" s="214">
        <f>$AV$19</f>
        <v>0.0482</v>
      </c>
      <c r="BA396" s="269">
        <f>ROUND(AY396*AZ396,2)</f>
        <v>0.29</v>
      </c>
      <c r="BB396" s="269">
        <f>ROUND(BA396*($A$16+$A$17)/100,2)</f>
        <v>0</v>
      </c>
      <c r="BC396" s="198">
        <f>SUM(BA396:BB396)</f>
        <v>0.29</v>
      </c>
      <c r="BD396" s="199">
        <f>SUM(AX396,BC396)</f>
        <v>0.53</v>
      </c>
      <c r="BE396" s="237" t="s">
        <v>1101</v>
      </c>
      <c r="BF396" s="238" t="s">
        <v>1116</v>
      </c>
      <c r="BG396" s="238"/>
      <c r="BI396" s="200">
        <f>BD396</f>
        <v>0.53</v>
      </c>
      <c r="BJ396" s="200">
        <f>ROUND(BI396*$S$19,2)</f>
        <v>0.05</v>
      </c>
      <c r="BK396" s="197">
        <f>ROUND(SUM(BI396:BJ396)*$AA$19,2)</f>
        <v>0.2</v>
      </c>
      <c r="BL396" s="197">
        <f>ROUND(SUM(BI396:BJ396)*$AA$21,2)</f>
        <v>0</v>
      </c>
      <c r="BM396" s="197">
        <f>ROUND(SUM(BI396:BJ396)*$AA$20,2)</f>
        <v>0.01</v>
      </c>
      <c r="BN396" s="201">
        <f>ROUND(BI396*$S$20,2)</f>
        <v>0.58</v>
      </c>
      <c r="BO396" s="202">
        <f>SUM(BI396:BN396)</f>
        <v>1.37</v>
      </c>
      <c r="BP396" s="203">
        <f>ROUND(BO396*$S$21,2)</f>
        <v>0.41</v>
      </c>
      <c r="BQ396" s="204">
        <f>SUM(BO396:BP396)</f>
        <v>1.78</v>
      </c>
      <c r="BR396" s="205">
        <f>ROUND(BQ396*$AD$19/95,2)</f>
        <v>0.09</v>
      </c>
      <c r="BS396" s="206">
        <f>SUM(BQ396:BR396)</f>
        <v>1.87</v>
      </c>
    </row>
    <row r="397" spans="2:59" ht="12.75">
      <c r="B397" s="239" t="s">
        <v>1102</v>
      </c>
      <c r="C397" s="240" t="s">
        <v>1117</v>
      </c>
      <c r="D397" s="251"/>
      <c r="E397" s="255"/>
      <c r="F397" s="256"/>
      <c r="G397" s="253"/>
      <c r="H397" s="253"/>
      <c r="I397" s="254"/>
      <c r="J397" s="255"/>
      <c r="K397" s="255"/>
      <c r="L397" s="253"/>
      <c r="M397" s="253"/>
      <c r="N397" s="254"/>
      <c r="O397" s="220"/>
      <c r="P397" s="239" t="s">
        <v>1102</v>
      </c>
      <c r="Q397" s="464" t="s">
        <v>1117</v>
      </c>
      <c r="R397" s="464"/>
      <c r="U397" s="253"/>
      <c r="V397" s="253"/>
      <c r="W397" s="253"/>
      <c r="X397" s="253"/>
      <c r="Y397" s="253"/>
      <c r="Z397" s="253"/>
      <c r="AA397" s="253"/>
      <c r="AB397" s="253"/>
      <c r="AC397" s="253"/>
      <c r="AD397" s="253"/>
      <c r="AE397" s="220"/>
      <c r="AG397" s="239" t="s">
        <v>1102</v>
      </c>
      <c r="AH397" s="240" t="s">
        <v>1117</v>
      </c>
      <c r="AI397" s="240"/>
      <c r="AL397" s="207"/>
      <c r="AM397" s="207"/>
      <c r="AN397" s="207"/>
      <c r="AQ397" s="239" t="s">
        <v>1102</v>
      </c>
      <c r="AR397" s="240" t="s">
        <v>1117</v>
      </c>
      <c r="AS397" s="240"/>
      <c r="AT397" s="271"/>
      <c r="AU397" s="256"/>
      <c r="AV397" s="254"/>
      <c r="AW397" s="254"/>
      <c r="AX397" s="254"/>
      <c r="AY397" s="252"/>
      <c r="AZ397" s="256"/>
      <c r="BA397" s="254"/>
      <c r="BB397" s="254"/>
      <c r="BC397" s="254"/>
      <c r="BD397" s="220"/>
      <c r="BE397" s="239" t="s">
        <v>1102</v>
      </c>
      <c r="BF397" s="240" t="s">
        <v>1117</v>
      </c>
      <c r="BG397" s="240"/>
    </row>
    <row r="398" spans="2:71" ht="25.5">
      <c r="B398" s="237" t="s">
        <v>1103</v>
      </c>
      <c r="C398" s="238" t="s">
        <v>1118</v>
      </c>
      <c r="D398" s="78" t="s">
        <v>53</v>
      </c>
      <c r="E398" s="257">
        <v>10</v>
      </c>
      <c r="F398" s="214">
        <f>$G$16</f>
        <v>0.0606</v>
      </c>
      <c r="G398" s="197">
        <f>ROUND(E398*F398,2)</f>
        <v>0.61</v>
      </c>
      <c r="H398" s="197">
        <f>ROUND(G398*($A$16+$A$17)/100,2)</f>
        <v>0</v>
      </c>
      <c r="I398" s="198">
        <f>SUM(G398:H398)</f>
        <v>0.61</v>
      </c>
      <c r="J398" s="257">
        <v>5</v>
      </c>
      <c r="K398" s="214">
        <f>$G$19</f>
        <v>0.0482</v>
      </c>
      <c r="L398" s="197">
        <f>ROUND(J398*K398,2)</f>
        <v>0.24</v>
      </c>
      <c r="M398" s="197">
        <f>ROUND(L398*($A$16+$A$17)/100,2)</f>
        <v>0</v>
      </c>
      <c r="N398" s="198">
        <f>SUM(L398:M398)</f>
        <v>0.24</v>
      </c>
      <c r="O398" s="199">
        <f>SUM(I398,N398)</f>
        <v>0.85</v>
      </c>
      <c r="P398" s="237" t="s">
        <v>1103</v>
      </c>
      <c r="Q398" s="465" t="s">
        <v>1118</v>
      </c>
      <c r="R398" s="465"/>
      <c r="T398" t="s">
        <v>719</v>
      </c>
      <c r="U398" s="200">
        <f>O398</f>
        <v>0.85</v>
      </c>
      <c r="V398" s="200">
        <f>ROUND(U398*$S$19,2)</f>
        <v>0.09</v>
      </c>
      <c r="W398" s="197">
        <f>ROUND(SUM(U398:V398)*$AA$19,2)</f>
        <v>0.32</v>
      </c>
      <c r="X398" s="197">
        <f>ROUND(SUM(U398:V398)*$AA$21,2)</f>
        <v>0</v>
      </c>
      <c r="Y398" s="197">
        <f>ROUND(SUM(U398:V398)*$AA$20,2)</f>
        <v>0.01</v>
      </c>
      <c r="Z398" s="201">
        <f>ROUND(U398*$S$20,2)</f>
        <v>0.93</v>
      </c>
      <c r="AA398" s="202">
        <f>SUM(U398:Z398)</f>
        <v>2.2</v>
      </c>
      <c r="AB398" s="203">
        <f>ROUND(AA398*$S$21,2)</f>
        <v>0.66</v>
      </c>
      <c r="AC398" s="204">
        <f>SUM(AA398:AB398)</f>
        <v>2.8600000000000003</v>
      </c>
      <c r="AD398" s="205">
        <f>ROUND(AC398*$AD$19/95,2)</f>
        <v>0.15</v>
      </c>
      <c r="AE398" s="206">
        <f>SUM(AC398:AD398)</f>
        <v>3.0100000000000002</v>
      </c>
      <c r="AG398" s="237" t="s">
        <v>1103</v>
      </c>
      <c r="AH398" s="238" t="s">
        <v>1118</v>
      </c>
      <c r="AI398" s="238"/>
      <c r="AL398" s="207">
        <f>AE398</f>
        <v>3.0100000000000002</v>
      </c>
      <c r="AM398" s="207"/>
      <c r="AN398" s="207">
        <f>BS398</f>
        <v>3.0100000000000002</v>
      </c>
      <c r="AQ398" s="237" t="s">
        <v>1103</v>
      </c>
      <c r="AR398" s="238" t="s">
        <v>1118</v>
      </c>
      <c r="AS398" s="238"/>
      <c r="AT398" s="271">
        <v>10</v>
      </c>
      <c r="AU398" s="214">
        <f>$AV$16</f>
        <v>0.0606</v>
      </c>
      <c r="AV398" s="269">
        <f>ROUND(AT398*AU398,2)</f>
        <v>0.61</v>
      </c>
      <c r="AW398" s="269">
        <f>ROUND(AV398*($A$16+$A$17)/100,2)</f>
        <v>0</v>
      </c>
      <c r="AX398" s="198">
        <f>SUM(AV398:AW398)</f>
        <v>0.61</v>
      </c>
      <c r="AY398" s="29">
        <v>5</v>
      </c>
      <c r="AZ398" s="214">
        <f>$AV$19</f>
        <v>0.0482</v>
      </c>
      <c r="BA398" s="269">
        <f>ROUND(AY398*AZ398,2)</f>
        <v>0.24</v>
      </c>
      <c r="BB398" s="269">
        <f>ROUND(BA398*($A$16+$A$17)/100,2)</f>
        <v>0</v>
      </c>
      <c r="BC398" s="198">
        <f>SUM(BA398:BB398)</f>
        <v>0.24</v>
      </c>
      <c r="BD398" s="199">
        <f>SUM(AX398,BC398)</f>
        <v>0.85</v>
      </c>
      <c r="BE398" s="237" t="s">
        <v>1103</v>
      </c>
      <c r="BF398" s="238" t="s">
        <v>1118</v>
      </c>
      <c r="BG398" s="238"/>
      <c r="BI398" s="200">
        <f>BD398</f>
        <v>0.85</v>
      </c>
      <c r="BJ398" s="200">
        <f>ROUND(BI398*$S$19,2)</f>
        <v>0.09</v>
      </c>
      <c r="BK398" s="197">
        <f>ROUND(SUM(BI398:BJ398)*$AA$19,2)</f>
        <v>0.32</v>
      </c>
      <c r="BL398" s="197">
        <f>ROUND(SUM(BI398:BJ398)*$AA$21,2)</f>
        <v>0</v>
      </c>
      <c r="BM398" s="197">
        <f>ROUND(SUM(BI398:BJ398)*$AA$20,2)</f>
        <v>0.01</v>
      </c>
      <c r="BN398" s="201">
        <f>ROUND(BI398*$S$20,2)</f>
        <v>0.93</v>
      </c>
      <c r="BO398" s="202">
        <f>SUM(BI398:BN398)</f>
        <v>2.2</v>
      </c>
      <c r="BP398" s="203">
        <f>ROUND(BO398*$S$21,2)</f>
        <v>0.66</v>
      </c>
      <c r="BQ398" s="204">
        <f>SUM(BO398:BP398)</f>
        <v>2.8600000000000003</v>
      </c>
      <c r="BR398" s="205">
        <f>ROUND(BQ398*$AD$19/95,2)</f>
        <v>0.15</v>
      </c>
      <c r="BS398" s="206">
        <f>SUM(BQ398:BR398)</f>
        <v>3.0100000000000002</v>
      </c>
    </row>
    <row r="399" spans="2:59" ht="12.75">
      <c r="B399" s="239" t="s">
        <v>1104</v>
      </c>
      <c r="C399" s="240" t="s">
        <v>1119</v>
      </c>
      <c r="D399" s="251"/>
      <c r="E399" s="255"/>
      <c r="F399" s="256"/>
      <c r="G399" s="253"/>
      <c r="H399" s="253"/>
      <c r="I399" s="254"/>
      <c r="J399" s="255"/>
      <c r="K399" s="255"/>
      <c r="L399" s="253"/>
      <c r="M399" s="253"/>
      <c r="N399" s="254"/>
      <c r="O399" s="220"/>
      <c r="P399" s="239" t="s">
        <v>1104</v>
      </c>
      <c r="Q399" s="464" t="s">
        <v>1119</v>
      </c>
      <c r="R399" s="464"/>
      <c r="U399" s="253"/>
      <c r="V399" s="253"/>
      <c r="W399" s="253"/>
      <c r="X399" s="253"/>
      <c r="Y399" s="253"/>
      <c r="Z399" s="253"/>
      <c r="AA399" s="253"/>
      <c r="AB399" s="253"/>
      <c r="AC399" s="253"/>
      <c r="AD399" s="253"/>
      <c r="AE399" s="220"/>
      <c r="AG399" s="239" t="s">
        <v>1104</v>
      </c>
      <c r="AH399" s="240" t="s">
        <v>1119</v>
      </c>
      <c r="AI399" s="240"/>
      <c r="AL399" s="207"/>
      <c r="AM399" s="207"/>
      <c r="AN399" s="207"/>
      <c r="AQ399" s="239" t="s">
        <v>1104</v>
      </c>
      <c r="AR399" s="240" t="s">
        <v>1119</v>
      </c>
      <c r="AS399" s="240"/>
      <c r="AT399" s="271"/>
      <c r="AU399" s="256"/>
      <c r="AV399" s="254"/>
      <c r="AW399" s="254"/>
      <c r="AX399" s="254"/>
      <c r="AY399" s="252"/>
      <c r="AZ399" s="256"/>
      <c r="BA399" s="254"/>
      <c r="BB399" s="254"/>
      <c r="BC399" s="254"/>
      <c r="BD399" s="220"/>
      <c r="BE399" s="239" t="s">
        <v>1104</v>
      </c>
      <c r="BF399" s="240" t="s">
        <v>1119</v>
      </c>
      <c r="BG399" s="240"/>
    </row>
    <row r="400" spans="2:71" ht="12.75">
      <c r="B400" s="237" t="s">
        <v>1105</v>
      </c>
      <c r="C400" s="238" t="s">
        <v>1120</v>
      </c>
      <c r="D400" s="78" t="s">
        <v>53</v>
      </c>
      <c r="E400" s="257">
        <v>5</v>
      </c>
      <c r="F400" s="214">
        <f>$G$16</f>
        <v>0.0606</v>
      </c>
      <c r="G400" s="197">
        <f>ROUND(E400*F400,2)</f>
        <v>0.3</v>
      </c>
      <c r="H400" s="197">
        <f>ROUND(G400*($A$16+$A$17)/100,2)</f>
        <v>0</v>
      </c>
      <c r="I400" s="198">
        <f>SUM(G400:H400)</f>
        <v>0.3</v>
      </c>
      <c r="J400" s="257">
        <v>5</v>
      </c>
      <c r="K400" s="214">
        <f>$G$19</f>
        <v>0.0482</v>
      </c>
      <c r="L400" s="197">
        <f>ROUND(J400*K400,2)</f>
        <v>0.24</v>
      </c>
      <c r="M400" s="197">
        <f>ROUND(L400*($A$16+$A$17)/100,2)</f>
        <v>0</v>
      </c>
      <c r="N400" s="198">
        <f>SUM(L400:M400)</f>
        <v>0.24</v>
      </c>
      <c r="O400" s="199">
        <f>SUM(I400,N400)</f>
        <v>0.54</v>
      </c>
      <c r="P400" s="237" t="s">
        <v>1105</v>
      </c>
      <c r="Q400" s="465" t="s">
        <v>1120</v>
      </c>
      <c r="R400" s="465"/>
      <c r="T400" t="s">
        <v>719</v>
      </c>
      <c r="U400" s="200">
        <f>O400</f>
        <v>0.54</v>
      </c>
      <c r="V400" s="200">
        <f>ROUND(U400*$S$19,2)</f>
        <v>0.06</v>
      </c>
      <c r="W400" s="197">
        <f>ROUND(SUM(U400:V400)*$AA$19,2)</f>
        <v>0.2</v>
      </c>
      <c r="X400" s="197">
        <f>ROUND(SUM(U400:V400)*$AA$21,2)</f>
        <v>0</v>
      </c>
      <c r="Y400" s="197">
        <f>ROUND(SUM(U400:V400)*$AA$20,2)</f>
        <v>0.01</v>
      </c>
      <c r="Z400" s="201">
        <f>ROUND(U400*$S$20,2)</f>
        <v>0.59</v>
      </c>
      <c r="AA400" s="202">
        <f>SUM(U400:Z400)</f>
        <v>1.4</v>
      </c>
      <c r="AB400" s="203">
        <f>ROUND(AA400*$S$21,2)</f>
        <v>0.42</v>
      </c>
      <c r="AC400" s="204">
        <f>SUM(AA400:AB400)</f>
        <v>1.8199999999999998</v>
      </c>
      <c r="AD400" s="205">
        <f>ROUND(AC400*$AD$19/95,2)</f>
        <v>0.1</v>
      </c>
      <c r="AE400" s="206">
        <f>SUM(AC400:AD400)</f>
        <v>1.92</v>
      </c>
      <c r="AG400" s="237" t="s">
        <v>1105</v>
      </c>
      <c r="AH400" s="238" t="s">
        <v>1120</v>
      </c>
      <c r="AI400" s="238"/>
      <c r="AL400" s="207">
        <f>AE400</f>
        <v>1.92</v>
      </c>
      <c r="AM400" s="207"/>
      <c r="AN400" s="207">
        <f>BS400</f>
        <v>1.92</v>
      </c>
      <c r="AQ400" s="237" t="s">
        <v>1105</v>
      </c>
      <c r="AR400" s="238" t="s">
        <v>1120</v>
      </c>
      <c r="AS400" s="238"/>
      <c r="AT400" s="271">
        <v>5</v>
      </c>
      <c r="AU400" s="214">
        <f>$AV$16</f>
        <v>0.0606</v>
      </c>
      <c r="AV400" s="269">
        <f>ROUND(AT400*AU400,2)</f>
        <v>0.3</v>
      </c>
      <c r="AW400" s="269">
        <f>ROUND(AV400*($A$16+$A$17)/100,2)</f>
        <v>0</v>
      </c>
      <c r="AX400" s="198">
        <f>SUM(AV400:AW400)</f>
        <v>0.3</v>
      </c>
      <c r="AY400" s="29">
        <v>5</v>
      </c>
      <c r="AZ400" s="214">
        <f>$AV$19</f>
        <v>0.0482</v>
      </c>
      <c r="BA400" s="269">
        <f>ROUND(AY400*AZ400,2)</f>
        <v>0.24</v>
      </c>
      <c r="BB400" s="269">
        <f>ROUND(BA400*($A$16+$A$17)/100,2)</f>
        <v>0</v>
      </c>
      <c r="BC400" s="198">
        <f>SUM(BA400:BB400)</f>
        <v>0.24</v>
      </c>
      <c r="BD400" s="199">
        <f>SUM(AX400,BC400)</f>
        <v>0.54</v>
      </c>
      <c r="BE400" s="237" t="s">
        <v>1105</v>
      </c>
      <c r="BF400" s="238" t="s">
        <v>1120</v>
      </c>
      <c r="BG400" s="238"/>
      <c r="BI400" s="200">
        <f>BD400</f>
        <v>0.54</v>
      </c>
      <c r="BJ400" s="200">
        <f>ROUND(BI400*$S$19,2)</f>
        <v>0.06</v>
      </c>
      <c r="BK400" s="197">
        <f>ROUND(SUM(BI400:BJ400)*$AA$19,2)</f>
        <v>0.2</v>
      </c>
      <c r="BL400" s="197">
        <f>ROUND(SUM(BI400:BJ400)*$AA$21,2)</f>
        <v>0</v>
      </c>
      <c r="BM400" s="197">
        <f>ROUND(SUM(BI400:BJ400)*$AA$20,2)</f>
        <v>0.01</v>
      </c>
      <c r="BN400" s="201">
        <f>ROUND(BI400*$S$20,2)</f>
        <v>0.59</v>
      </c>
      <c r="BO400" s="202">
        <f>SUM(BI400:BN400)</f>
        <v>1.4</v>
      </c>
      <c r="BP400" s="203">
        <f>ROUND(BO400*$S$21,2)</f>
        <v>0.42</v>
      </c>
      <c r="BQ400" s="204">
        <f>SUM(BO400:BP400)</f>
        <v>1.8199999999999998</v>
      </c>
      <c r="BR400" s="205">
        <f>ROUND(BQ400*$AD$19/95,2)</f>
        <v>0.1</v>
      </c>
      <c r="BS400" s="206">
        <f>SUM(BQ400:BR400)</f>
        <v>1.92</v>
      </c>
    </row>
    <row r="401" spans="2:59" ht="25.5">
      <c r="B401" s="239" t="s">
        <v>1106</v>
      </c>
      <c r="C401" s="240" t="s">
        <v>1121</v>
      </c>
      <c r="D401" s="251"/>
      <c r="E401" s="255"/>
      <c r="F401" s="256"/>
      <c r="G401" s="253"/>
      <c r="H401" s="253"/>
      <c r="I401" s="254"/>
      <c r="J401" s="255"/>
      <c r="K401" s="255"/>
      <c r="L401" s="253"/>
      <c r="M401" s="253"/>
      <c r="N401" s="254"/>
      <c r="O401" s="220"/>
      <c r="P401" s="239" t="s">
        <v>1106</v>
      </c>
      <c r="Q401" s="464" t="s">
        <v>1121</v>
      </c>
      <c r="R401" s="464"/>
      <c r="U401" s="253"/>
      <c r="V401" s="253"/>
      <c r="W401" s="253"/>
      <c r="X401" s="253"/>
      <c r="Y401" s="253"/>
      <c r="Z401" s="253"/>
      <c r="AA401" s="253"/>
      <c r="AB401" s="253"/>
      <c r="AC401" s="253"/>
      <c r="AD401" s="253"/>
      <c r="AE401" s="220"/>
      <c r="AG401" s="239" t="s">
        <v>1106</v>
      </c>
      <c r="AH401" s="240" t="s">
        <v>1121</v>
      </c>
      <c r="AI401" s="240"/>
      <c r="AL401" s="207"/>
      <c r="AM401" s="207"/>
      <c r="AN401" s="207"/>
      <c r="AQ401" s="239" t="s">
        <v>1106</v>
      </c>
      <c r="AR401" s="240" t="s">
        <v>1121</v>
      </c>
      <c r="AS401" s="240"/>
      <c r="AT401" s="271"/>
      <c r="AU401" s="256"/>
      <c r="AV401" s="254"/>
      <c r="AW401" s="254"/>
      <c r="AX401" s="254"/>
      <c r="AY401" s="252"/>
      <c r="AZ401" s="256"/>
      <c r="BA401" s="254"/>
      <c r="BB401" s="254"/>
      <c r="BC401" s="254"/>
      <c r="BD401" s="220"/>
      <c r="BE401" s="239" t="s">
        <v>1106</v>
      </c>
      <c r="BF401" s="240" t="s">
        <v>1121</v>
      </c>
      <c r="BG401" s="240"/>
    </row>
    <row r="402" spans="2:71" ht="25.5">
      <c r="B402" s="237" t="s">
        <v>1107</v>
      </c>
      <c r="C402" s="238" t="s">
        <v>1122</v>
      </c>
      <c r="D402" s="78" t="s">
        <v>53</v>
      </c>
      <c r="E402" s="257">
        <v>13</v>
      </c>
      <c r="F402" s="214">
        <f>$G$16</f>
        <v>0.0606</v>
      </c>
      <c r="G402" s="197">
        <f>ROUND(E402*F402,2)</f>
        <v>0.79</v>
      </c>
      <c r="H402" s="197">
        <f>ROUND(G402*($A$16+$A$17)/100,2)</f>
        <v>0</v>
      </c>
      <c r="I402" s="198">
        <f>SUM(G402:H402)</f>
        <v>0.79</v>
      </c>
      <c r="J402" s="257">
        <v>7</v>
      </c>
      <c r="K402" s="214">
        <f>$G$19</f>
        <v>0.0482</v>
      </c>
      <c r="L402" s="197">
        <f>ROUND(J402*K402,2)</f>
        <v>0.34</v>
      </c>
      <c r="M402" s="197">
        <f>ROUND(L402*($A$16+$A$17)/100,2)</f>
        <v>0</v>
      </c>
      <c r="N402" s="198">
        <f>SUM(L402:M402)</f>
        <v>0.34</v>
      </c>
      <c r="O402" s="199">
        <f>SUM(I402,N402)</f>
        <v>1.1300000000000001</v>
      </c>
      <c r="P402" s="237" t="s">
        <v>1107</v>
      </c>
      <c r="Q402" s="465" t="s">
        <v>1122</v>
      </c>
      <c r="R402" s="465"/>
      <c r="T402" t="s">
        <v>719</v>
      </c>
      <c r="U402" s="200">
        <f>O402</f>
        <v>1.1300000000000001</v>
      </c>
      <c r="V402" s="200">
        <f>ROUND(U402*$S$19,2)</f>
        <v>0.12</v>
      </c>
      <c r="W402" s="197">
        <f>ROUND(SUM(U402:V402)*$AA$19,2)</f>
        <v>0.43</v>
      </c>
      <c r="X402" s="197">
        <f>ROUND(SUM(U402:V402)*$AA$21,2)</f>
        <v>0</v>
      </c>
      <c r="Y402" s="197">
        <f>ROUND(SUM(U402:V402)*$AA$20,2)</f>
        <v>0.02</v>
      </c>
      <c r="Z402" s="201">
        <f>ROUND(U402*$S$20,2)</f>
        <v>1.24</v>
      </c>
      <c r="AA402" s="202">
        <f>SUM(U402:Z402)</f>
        <v>2.94</v>
      </c>
      <c r="AB402" s="203">
        <f>ROUND(AA402*$S$21,2)</f>
        <v>0.88</v>
      </c>
      <c r="AC402" s="204">
        <f>SUM(AA402:AB402)</f>
        <v>3.82</v>
      </c>
      <c r="AD402" s="205">
        <f>ROUND(AC402*$AD$19/95,2)</f>
        <v>0.2</v>
      </c>
      <c r="AE402" s="206">
        <f>SUM(AC402:AD402)</f>
        <v>4.02</v>
      </c>
      <c r="AG402" s="237" t="s">
        <v>1107</v>
      </c>
      <c r="AH402" s="238" t="s">
        <v>1122</v>
      </c>
      <c r="AI402" s="238"/>
      <c r="AL402" s="207">
        <f>AE402</f>
        <v>4.02</v>
      </c>
      <c r="AM402" s="207"/>
      <c r="AN402" s="207">
        <f>BS402</f>
        <v>4.02</v>
      </c>
      <c r="AQ402" s="237" t="s">
        <v>1107</v>
      </c>
      <c r="AR402" s="238" t="s">
        <v>1122</v>
      </c>
      <c r="AS402" s="238"/>
      <c r="AT402" s="271">
        <v>13</v>
      </c>
      <c r="AU402" s="214">
        <f>$AV$16</f>
        <v>0.0606</v>
      </c>
      <c r="AV402" s="269">
        <f>ROUND(AT402*AU402,2)</f>
        <v>0.79</v>
      </c>
      <c r="AW402" s="269">
        <f>ROUND(AV402*($A$16+$A$17)/100,2)</f>
        <v>0</v>
      </c>
      <c r="AX402" s="198">
        <f>SUM(AV402:AW402)</f>
        <v>0.79</v>
      </c>
      <c r="AY402" s="29">
        <v>7</v>
      </c>
      <c r="AZ402" s="214">
        <f>$AV$19</f>
        <v>0.0482</v>
      </c>
      <c r="BA402" s="269">
        <f>ROUND(AY402*AZ402,2)</f>
        <v>0.34</v>
      </c>
      <c r="BB402" s="269">
        <f>ROUND(BA402*($A$16+$A$17)/100,2)</f>
        <v>0</v>
      </c>
      <c r="BC402" s="198">
        <f>SUM(BA402:BB402)</f>
        <v>0.34</v>
      </c>
      <c r="BD402" s="199">
        <f>SUM(AX402,BC402)</f>
        <v>1.1300000000000001</v>
      </c>
      <c r="BE402" s="237" t="s">
        <v>1107</v>
      </c>
      <c r="BF402" s="238" t="s">
        <v>1122</v>
      </c>
      <c r="BG402" s="238"/>
      <c r="BI402" s="200">
        <f>BD402</f>
        <v>1.1300000000000001</v>
      </c>
      <c r="BJ402" s="200">
        <f>ROUND(BI402*$S$19,2)</f>
        <v>0.12</v>
      </c>
      <c r="BK402" s="197">
        <f>ROUND(SUM(BI402:BJ402)*$AA$19,2)</f>
        <v>0.43</v>
      </c>
      <c r="BL402" s="197">
        <f>ROUND(SUM(BI402:BJ402)*$AA$21,2)</f>
        <v>0</v>
      </c>
      <c r="BM402" s="197">
        <f>ROUND(SUM(BI402:BJ402)*$AA$20,2)</f>
        <v>0.02</v>
      </c>
      <c r="BN402" s="201">
        <f>ROUND(BI402*$S$20,2)</f>
        <v>1.24</v>
      </c>
      <c r="BO402" s="202">
        <f>SUM(BI402:BN402)</f>
        <v>2.94</v>
      </c>
      <c r="BP402" s="203">
        <f>ROUND(BO402*$S$21,2)</f>
        <v>0.88</v>
      </c>
      <c r="BQ402" s="204">
        <f>SUM(BO402:BP402)</f>
        <v>3.82</v>
      </c>
      <c r="BR402" s="205">
        <f>ROUND(BQ402*$AD$19/95,2)</f>
        <v>0.2</v>
      </c>
      <c r="BS402" s="206">
        <f>SUM(BQ402:BR402)</f>
        <v>4.02</v>
      </c>
    </row>
    <row r="403" spans="2:71" ht="12.75">
      <c r="B403" s="237" t="s">
        <v>1108</v>
      </c>
      <c r="C403" s="238" t="s">
        <v>1123</v>
      </c>
      <c r="D403" s="78" t="s">
        <v>53</v>
      </c>
      <c r="E403" s="257">
        <v>11</v>
      </c>
      <c r="F403" s="214">
        <f>$G$16</f>
        <v>0.0606</v>
      </c>
      <c r="G403" s="197">
        <f>ROUND(E403*F403,2)</f>
        <v>0.67</v>
      </c>
      <c r="H403" s="197">
        <f>ROUND(G403*($A$16+$A$17)/100,2)</f>
        <v>0</v>
      </c>
      <c r="I403" s="198">
        <f>SUM(G403:H403)</f>
        <v>0.67</v>
      </c>
      <c r="J403" s="257">
        <v>6</v>
      </c>
      <c r="K403" s="214">
        <f>$G$19</f>
        <v>0.0482</v>
      </c>
      <c r="L403" s="197">
        <f>ROUND(J403*K403,2)</f>
        <v>0.29</v>
      </c>
      <c r="M403" s="197">
        <f>ROUND(L403*($A$16+$A$17)/100,2)</f>
        <v>0</v>
      </c>
      <c r="N403" s="198">
        <f>SUM(L403:M403)</f>
        <v>0.29</v>
      </c>
      <c r="O403" s="199">
        <f>SUM(I403,N403)</f>
        <v>0.96</v>
      </c>
      <c r="P403" s="237" t="s">
        <v>1108</v>
      </c>
      <c r="Q403" s="465" t="s">
        <v>1123</v>
      </c>
      <c r="R403" s="465"/>
      <c r="T403" t="s">
        <v>719</v>
      </c>
      <c r="U403" s="200">
        <f>O403</f>
        <v>0.96</v>
      </c>
      <c r="V403" s="200">
        <f>ROUND(U403*$S$19,2)</f>
        <v>0.1</v>
      </c>
      <c r="W403" s="197">
        <f>ROUND(SUM(U403:V403)*$AA$19,2)</f>
        <v>0.36</v>
      </c>
      <c r="X403" s="197">
        <f>ROUND(SUM(U403:V403)*$AA$21,2)</f>
        <v>0</v>
      </c>
      <c r="Y403" s="197">
        <f>ROUND(SUM(U403:V403)*$AA$20,2)</f>
        <v>0.02</v>
      </c>
      <c r="Z403" s="201">
        <f>ROUND(U403*$S$20,2)</f>
        <v>1.05</v>
      </c>
      <c r="AA403" s="202">
        <f>SUM(U403:Z403)</f>
        <v>2.49</v>
      </c>
      <c r="AB403" s="203">
        <f>ROUND(AA403*$S$21,2)</f>
        <v>0.75</v>
      </c>
      <c r="AC403" s="204">
        <f>SUM(AA403:AB403)</f>
        <v>3.24</v>
      </c>
      <c r="AD403" s="205">
        <f>ROUND(AC403*$AD$19/95,2)</f>
        <v>0.17</v>
      </c>
      <c r="AE403" s="206">
        <f>SUM(AC403:AD403)</f>
        <v>3.41</v>
      </c>
      <c r="AG403" s="237" t="s">
        <v>1108</v>
      </c>
      <c r="AH403" s="238" t="s">
        <v>1123</v>
      </c>
      <c r="AI403" s="238"/>
      <c r="AL403" s="207">
        <f>AE403</f>
        <v>3.41</v>
      </c>
      <c r="AM403" s="207"/>
      <c r="AN403" s="207">
        <f>BS403</f>
        <v>3.41</v>
      </c>
      <c r="AQ403" s="237" t="s">
        <v>1108</v>
      </c>
      <c r="AR403" s="238" t="s">
        <v>1123</v>
      </c>
      <c r="AS403" s="238"/>
      <c r="AT403" s="271">
        <v>11</v>
      </c>
      <c r="AU403" s="214">
        <f>$AV$16</f>
        <v>0.0606</v>
      </c>
      <c r="AV403" s="269">
        <f>ROUND(AT403*AU403,2)</f>
        <v>0.67</v>
      </c>
      <c r="AW403" s="269">
        <f>ROUND(AV403*($A$16+$A$17)/100,2)</f>
        <v>0</v>
      </c>
      <c r="AX403" s="198">
        <f>SUM(AV403:AW403)</f>
        <v>0.67</v>
      </c>
      <c r="AY403" s="29">
        <v>6</v>
      </c>
      <c r="AZ403" s="214">
        <f>$AV$19</f>
        <v>0.0482</v>
      </c>
      <c r="BA403" s="269">
        <f>ROUND(AY403*AZ403,2)</f>
        <v>0.29</v>
      </c>
      <c r="BB403" s="269">
        <f>ROUND(BA403*($A$16+$A$17)/100,2)</f>
        <v>0</v>
      </c>
      <c r="BC403" s="198">
        <f>SUM(BA403:BB403)</f>
        <v>0.29</v>
      </c>
      <c r="BD403" s="199">
        <f>SUM(AX403,BC403)</f>
        <v>0.96</v>
      </c>
      <c r="BE403" s="237" t="s">
        <v>1108</v>
      </c>
      <c r="BF403" s="238" t="s">
        <v>1123</v>
      </c>
      <c r="BG403" s="238"/>
      <c r="BI403" s="200">
        <f>BD403</f>
        <v>0.96</v>
      </c>
      <c r="BJ403" s="200">
        <f>ROUND(BI403*$S$19,2)</f>
        <v>0.1</v>
      </c>
      <c r="BK403" s="197">
        <f>ROUND(SUM(BI403:BJ403)*$AA$19,2)</f>
        <v>0.36</v>
      </c>
      <c r="BL403" s="197">
        <f>ROUND(SUM(BI403:BJ403)*$AA$21,2)</f>
        <v>0</v>
      </c>
      <c r="BM403" s="197">
        <f>ROUND(SUM(BI403:BJ403)*$AA$20,2)</f>
        <v>0.02</v>
      </c>
      <c r="BN403" s="201">
        <f>ROUND(BI403*$S$20,2)</f>
        <v>1.05</v>
      </c>
      <c r="BO403" s="202">
        <f>SUM(BI403:BN403)</f>
        <v>2.49</v>
      </c>
      <c r="BP403" s="203">
        <f>ROUND(BO403*$S$21,2)</f>
        <v>0.75</v>
      </c>
      <c r="BQ403" s="204">
        <f>SUM(BO403:BP403)</f>
        <v>3.24</v>
      </c>
      <c r="BR403" s="205">
        <f>ROUND(BQ403*$AD$19/95,2)</f>
        <v>0.17</v>
      </c>
      <c r="BS403" s="206">
        <f>SUM(BQ403:BR403)</f>
        <v>3.41</v>
      </c>
    </row>
    <row r="404" spans="2:55" ht="12.75">
      <c r="B404" s="250"/>
      <c r="C404" s="242"/>
      <c r="Q404" s="2"/>
      <c r="R404" s="2"/>
      <c r="AT404" s="271"/>
      <c r="AU404" s="271"/>
      <c r="AV404" s="271"/>
      <c r="AW404" s="271"/>
      <c r="AX404" s="271"/>
      <c r="AY404" s="271"/>
      <c r="AZ404" s="271"/>
      <c r="BA404" s="271"/>
      <c r="BB404" s="271"/>
      <c r="BC404" s="271"/>
    </row>
    <row r="405" spans="2:55" ht="12.75">
      <c r="B405" s="250"/>
      <c r="C405" s="242"/>
      <c r="Q405" s="2"/>
      <c r="R405" s="2"/>
      <c r="AT405" s="271"/>
      <c r="AU405" s="271"/>
      <c r="AV405" s="271"/>
      <c r="AW405" s="271"/>
      <c r="AX405" s="271"/>
      <c r="AY405" s="271"/>
      <c r="AZ405" s="271"/>
      <c r="BA405" s="271"/>
      <c r="BB405" s="271"/>
      <c r="BC405" s="271"/>
    </row>
    <row r="406" spans="2:55" ht="12.75">
      <c r="B406" s="250"/>
      <c r="C406" s="242"/>
      <c r="Q406" s="2"/>
      <c r="R406" s="2"/>
      <c r="AT406" s="271"/>
      <c r="AU406" s="271"/>
      <c r="AV406" s="271"/>
      <c r="AW406" s="271"/>
      <c r="AX406" s="271"/>
      <c r="AY406" s="271"/>
      <c r="AZ406" s="271"/>
      <c r="BA406" s="271"/>
      <c r="BB406" s="271"/>
      <c r="BC406" s="271"/>
    </row>
    <row r="407" spans="2:55" ht="12.75">
      <c r="B407" s="250"/>
      <c r="C407" s="242"/>
      <c r="Q407" s="2"/>
      <c r="R407" s="2"/>
      <c r="AT407" s="271"/>
      <c r="AU407" s="271"/>
      <c r="AV407" s="271"/>
      <c r="AW407" s="271"/>
      <c r="AX407" s="271"/>
      <c r="AY407" s="271"/>
      <c r="AZ407" s="271"/>
      <c r="BA407" s="271"/>
      <c r="BB407" s="271"/>
      <c r="BC407" s="271"/>
    </row>
    <row r="408" spans="2:55" ht="12.75">
      <c r="B408" s="250"/>
      <c r="C408" s="242"/>
      <c r="Q408" s="2"/>
      <c r="R408" s="2"/>
      <c r="AT408" s="271"/>
      <c r="AU408" s="271"/>
      <c r="AV408" s="271"/>
      <c r="AW408" s="271"/>
      <c r="AX408" s="271"/>
      <c r="AY408" s="271"/>
      <c r="AZ408" s="271"/>
      <c r="BA408" s="271"/>
      <c r="BB408" s="271"/>
      <c r="BC408" s="271"/>
    </row>
    <row r="409" spans="2:55" ht="12.75">
      <c r="B409" s="250"/>
      <c r="C409" s="242"/>
      <c r="Q409" s="2"/>
      <c r="R409" s="2"/>
      <c r="AT409" s="271"/>
      <c r="AU409" s="271"/>
      <c r="AV409" s="271"/>
      <c r="AW409" s="271"/>
      <c r="AX409" s="271"/>
      <c r="AY409" s="271"/>
      <c r="AZ409" s="271"/>
      <c r="BA409" s="271"/>
      <c r="BB409" s="271"/>
      <c r="BC409" s="271"/>
    </row>
    <row r="410" spans="2:55" ht="12.75">
      <c r="B410" s="250"/>
      <c r="C410" s="242"/>
      <c r="Q410" s="2"/>
      <c r="R410" s="2"/>
      <c r="AT410" s="271"/>
      <c r="AU410" s="271"/>
      <c r="AV410" s="271"/>
      <c r="AW410" s="271"/>
      <c r="AX410" s="271"/>
      <c r="AY410" s="271"/>
      <c r="AZ410" s="271"/>
      <c r="BA410" s="271"/>
      <c r="BB410" s="271"/>
      <c r="BC410" s="271"/>
    </row>
    <row r="411" spans="2:55" ht="12.75">
      <c r="B411" s="250"/>
      <c r="C411" s="242"/>
      <c r="Q411" s="2"/>
      <c r="R411" s="2"/>
      <c r="AT411" s="271"/>
      <c r="AU411" s="271"/>
      <c r="AV411" s="271"/>
      <c r="AW411" s="271"/>
      <c r="AX411" s="271"/>
      <c r="AY411" s="271"/>
      <c r="AZ411" s="271"/>
      <c r="BA411" s="271"/>
      <c r="BB411" s="271"/>
      <c r="BC411" s="271"/>
    </row>
    <row r="412" spans="2:55" ht="12.75">
      <c r="B412" s="250"/>
      <c r="C412" s="179"/>
      <c r="Q412" s="2"/>
      <c r="R412" s="2"/>
      <c r="AT412" s="271"/>
      <c r="AU412" s="271"/>
      <c r="AV412" s="271"/>
      <c r="AW412" s="271"/>
      <c r="AX412" s="271"/>
      <c r="AY412" s="271"/>
      <c r="AZ412" s="271"/>
      <c r="BA412" s="271"/>
      <c r="BB412" s="271"/>
      <c r="BC412" s="271"/>
    </row>
    <row r="413" spans="2:55" ht="12.75">
      <c r="B413" s="250"/>
      <c r="C413" s="179"/>
      <c r="Q413" s="2"/>
      <c r="R413" s="2"/>
      <c r="AT413" s="271"/>
      <c r="AU413" s="271"/>
      <c r="AV413" s="271"/>
      <c r="AW413" s="271"/>
      <c r="AX413" s="271"/>
      <c r="AY413" s="271"/>
      <c r="AZ413" s="271"/>
      <c r="BA413" s="271"/>
      <c r="BB413" s="271"/>
      <c r="BC413" s="271"/>
    </row>
    <row r="414" spans="2:55" ht="12.75">
      <c r="B414" s="250"/>
      <c r="C414" s="179"/>
      <c r="Q414" s="2"/>
      <c r="R414" s="2"/>
      <c r="AT414" s="271"/>
      <c r="AU414" s="271"/>
      <c r="AV414" s="271"/>
      <c r="AW414" s="271"/>
      <c r="AX414" s="271"/>
      <c r="AY414" s="271"/>
      <c r="AZ414" s="271"/>
      <c r="BA414" s="271"/>
      <c r="BB414" s="271"/>
      <c r="BC414" s="271"/>
    </row>
    <row r="415" spans="2:55" ht="12.75">
      <c r="B415" s="250"/>
      <c r="C415" s="179"/>
      <c r="Q415" s="2"/>
      <c r="R415" s="2"/>
      <c r="AT415" s="271"/>
      <c r="AU415" s="271"/>
      <c r="AV415" s="271"/>
      <c r="AW415" s="271"/>
      <c r="AX415" s="271"/>
      <c r="AY415" s="271"/>
      <c r="AZ415" s="271"/>
      <c r="BA415" s="271"/>
      <c r="BB415" s="271"/>
      <c r="BC415" s="271"/>
    </row>
    <row r="416" spans="2:55" ht="12.75">
      <c r="B416" s="250"/>
      <c r="C416" s="179"/>
      <c r="Q416" s="2"/>
      <c r="R416" s="2"/>
      <c r="AT416" s="271"/>
      <c r="AU416" s="271"/>
      <c r="AV416" s="271"/>
      <c r="AW416" s="271"/>
      <c r="AX416" s="271"/>
      <c r="AY416" s="271"/>
      <c r="AZ416" s="271"/>
      <c r="BA416" s="271"/>
      <c r="BB416" s="271"/>
      <c r="BC416" s="271"/>
    </row>
    <row r="417" spans="2:55" ht="12.75">
      <c r="B417" s="250"/>
      <c r="C417" s="179"/>
      <c r="Q417" s="2"/>
      <c r="R417" s="2"/>
      <c r="AT417" s="271"/>
      <c r="AU417" s="271"/>
      <c r="AV417" s="271"/>
      <c r="AW417" s="271"/>
      <c r="AX417" s="271"/>
      <c r="AY417" s="271"/>
      <c r="AZ417" s="271"/>
      <c r="BA417" s="271"/>
      <c r="BB417" s="271"/>
      <c r="BC417" s="271"/>
    </row>
    <row r="418" spans="2:55" ht="12.75">
      <c r="B418" s="250"/>
      <c r="C418" s="179"/>
      <c r="Q418" s="2"/>
      <c r="R418" s="2"/>
      <c r="AT418" s="271"/>
      <c r="AU418" s="271"/>
      <c r="AV418" s="271"/>
      <c r="AW418" s="271"/>
      <c r="AX418" s="271"/>
      <c r="AY418" s="271"/>
      <c r="AZ418" s="271"/>
      <c r="BA418" s="271"/>
      <c r="BB418" s="271"/>
      <c r="BC418" s="271"/>
    </row>
    <row r="419" spans="2:55" ht="12.75">
      <c r="B419" s="250"/>
      <c r="C419" s="179"/>
      <c r="Q419" s="2"/>
      <c r="R419" s="2"/>
      <c r="AT419" s="271"/>
      <c r="AU419" s="271"/>
      <c r="AV419" s="271"/>
      <c r="AW419" s="271"/>
      <c r="AX419" s="271"/>
      <c r="AY419" s="271"/>
      <c r="AZ419" s="271"/>
      <c r="BA419" s="271"/>
      <c r="BB419" s="271"/>
      <c r="BC419" s="271"/>
    </row>
    <row r="420" spans="2:55" ht="12.75">
      <c r="B420" s="250"/>
      <c r="C420" s="179"/>
      <c r="Q420" s="2"/>
      <c r="R420" s="2"/>
      <c r="AT420" s="271"/>
      <c r="AU420" s="271"/>
      <c r="AV420" s="271"/>
      <c r="AW420" s="271"/>
      <c r="AX420" s="271"/>
      <c r="AY420" s="271"/>
      <c r="AZ420" s="271"/>
      <c r="BA420" s="271"/>
      <c r="BB420" s="271"/>
      <c r="BC420" s="271"/>
    </row>
    <row r="421" spans="2:55" ht="12.75">
      <c r="B421" s="250"/>
      <c r="C421" s="179"/>
      <c r="Q421" s="2"/>
      <c r="R421" s="2"/>
      <c r="AT421" s="271"/>
      <c r="AU421" s="271"/>
      <c r="AV421" s="271"/>
      <c r="AW421" s="271"/>
      <c r="AX421" s="271"/>
      <c r="AY421" s="271"/>
      <c r="AZ421" s="271"/>
      <c r="BA421" s="271"/>
      <c r="BB421" s="271"/>
      <c r="BC421" s="271"/>
    </row>
    <row r="422" spans="2:55" ht="12.75">
      <c r="B422" s="250"/>
      <c r="C422" s="179"/>
      <c r="Q422" s="2"/>
      <c r="R422" s="2"/>
      <c r="AT422" s="271"/>
      <c r="AU422" s="271"/>
      <c r="AV422" s="271"/>
      <c r="AW422" s="271"/>
      <c r="AX422" s="271"/>
      <c r="AY422" s="271"/>
      <c r="AZ422" s="271"/>
      <c r="BA422" s="271"/>
      <c r="BB422" s="271"/>
      <c r="BC422" s="271"/>
    </row>
    <row r="423" spans="2:55" ht="12.75">
      <c r="B423" s="250"/>
      <c r="C423" s="179"/>
      <c r="Q423" s="2"/>
      <c r="R423" s="2"/>
      <c r="AT423" s="271"/>
      <c r="AU423" s="271"/>
      <c r="AV423" s="271"/>
      <c r="AW423" s="271"/>
      <c r="AX423" s="271"/>
      <c r="AY423" s="271"/>
      <c r="AZ423" s="271"/>
      <c r="BA423" s="271"/>
      <c r="BB423" s="271"/>
      <c r="BC423" s="271"/>
    </row>
    <row r="424" spans="2:55" ht="12.75">
      <c r="B424" s="250"/>
      <c r="C424" s="179"/>
      <c r="Q424" s="2"/>
      <c r="R424" s="2"/>
      <c r="AT424" s="271"/>
      <c r="AU424" s="271"/>
      <c r="AV424" s="271"/>
      <c r="AW424" s="271"/>
      <c r="AX424" s="271"/>
      <c r="AY424" s="271"/>
      <c r="AZ424" s="271"/>
      <c r="BA424" s="271"/>
      <c r="BB424" s="271"/>
      <c r="BC424" s="271"/>
    </row>
    <row r="425" spans="2:55" ht="12.75">
      <c r="B425" s="250"/>
      <c r="C425" s="179"/>
      <c r="Q425" s="2"/>
      <c r="R425" s="2"/>
      <c r="AT425" s="271"/>
      <c r="AU425" s="271"/>
      <c r="AV425" s="271"/>
      <c r="AW425" s="271"/>
      <c r="AX425" s="271"/>
      <c r="AY425" s="271"/>
      <c r="AZ425" s="271"/>
      <c r="BA425" s="271"/>
      <c r="BB425" s="271"/>
      <c r="BC425" s="271"/>
    </row>
    <row r="426" spans="2:55" ht="12.75">
      <c r="B426" s="179"/>
      <c r="C426" s="179"/>
      <c r="AT426" s="271"/>
      <c r="AU426" s="271"/>
      <c r="AV426" s="271"/>
      <c r="AW426" s="271"/>
      <c r="AX426" s="271"/>
      <c r="AY426" s="271"/>
      <c r="AZ426" s="271"/>
      <c r="BA426" s="271"/>
      <c r="BB426" s="271"/>
      <c r="BC426" s="271"/>
    </row>
    <row r="427" spans="2:55" ht="12.75">
      <c r="B427" s="179"/>
      <c r="C427" s="179"/>
      <c r="AT427" s="271"/>
      <c r="AU427" s="271"/>
      <c r="AV427" s="271"/>
      <c r="AW427" s="271"/>
      <c r="AX427" s="271"/>
      <c r="AY427" s="271"/>
      <c r="AZ427" s="271"/>
      <c r="BA427" s="271"/>
      <c r="BB427" s="271"/>
      <c r="BC427" s="271"/>
    </row>
    <row r="428" spans="2:55" ht="12.75">
      <c r="B428" s="179"/>
      <c r="C428" s="179"/>
      <c r="AT428" s="271"/>
      <c r="AU428" s="271"/>
      <c r="AV428" s="271"/>
      <c r="AW428" s="271"/>
      <c r="AX428" s="271"/>
      <c r="AY428" s="271"/>
      <c r="AZ428" s="271"/>
      <c r="BA428" s="271"/>
      <c r="BB428" s="271"/>
      <c r="BC428" s="271"/>
    </row>
    <row r="429" spans="2:55" ht="12.75">
      <c r="B429" s="179"/>
      <c r="C429" s="179"/>
      <c r="AT429" s="271"/>
      <c r="AU429" s="271"/>
      <c r="AV429" s="271"/>
      <c r="AW429" s="271"/>
      <c r="AX429" s="271"/>
      <c r="AY429" s="271"/>
      <c r="AZ429" s="271"/>
      <c r="BA429" s="271"/>
      <c r="BB429" s="271"/>
      <c r="BC429" s="271"/>
    </row>
    <row r="430" spans="2:55" ht="12.75">
      <c r="B430" s="179"/>
      <c r="C430" s="179"/>
      <c r="AT430" s="271"/>
      <c r="AU430" s="271"/>
      <c r="AV430" s="271"/>
      <c r="AW430" s="271"/>
      <c r="AX430" s="271"/>
      <c r="AY430" s="271"/>
      <c r="AZ430" s="271"/>
      <c r="BA430" s="271"/>
      <c r="BB430" s="271"/>
      <c r="BC430" s="271"/>
    </row>
    <row r="431" spans="2:55" ht="12.75">
      <c r="B431" s="179"/>
      <c r="C431" s="179"/>
      <c r="AT431" s="271"/>
      <c r="AU431" s="271"/>
      <c r="AV431" s="271"/>
      <c r="AW431" s="271"/>
      <c r="AX431" s="271"/>
      <c r="AY431" s="271"/>
      <c r="AZ431" s="271"/>
      <c r="BA431" s="271"/>
      <c r="BB431" s="271"/>
      <c r="BC431" s="271"/>
    </row>
    <row r="432" spans="2:55" ht="12.75">
      <c r="B432" s="179"/>
      <c r="C432" s="179"/>
      <c r="AT432" s="271"/>
      <c r="AU432" s="271"/>
      <c r="AV432" s="271"/>
      <c r="AW432" s="271"/>
      <c r="AX432" s="271"/>
      <c r="AY432" s="271"/>
      <c r="AZ432" s="271"/>
      <c r="BA432" s="271"/>
      <c r="BB432" s="271"/>
      <c r="BC432" s="271"/>
    </row>
    <row r="433" spans="2:55" ht="12.75">
      <c r="B433" s="179"/>
      <c r="C433" s="179"/>
      <c r="AT433" s="271"/>
      <c r="AU433" s="271"/>
      <c r="AV433" s="271"/>
      <c r="AW433" s="271"/>
      <c r="AX433" s="271"/>
      <c r="AY433" s="271"/>
      <c r="AZ433" s="271"/>
      <c r="BA433" s="271"/>
      <c r="BB433" s="271"/>
      <c r="BC433" s="271"/>
    </row>
    <row r="434" spans="2:55" ht="12.75">
      <c r="B434" s="179"/>
      <c r="C434" s="179"/>
      <c r="AT434" s="271"/>
      <c r="AU434" s="271"/>
      <c r="AV434" s="271"/>
      <c r="AW434" s="271"/>
      <c r="AX434" s="271"/>
      <c r="AY434" s="271"/>
      <c r="AZ434" s="271"/>
      <c r="BA434" s="271"/>
      <c r="BB434" s="271"/>
      <c r="BC434" s="271"/>
    </row>
    <row r="435" spans="2:3" ht="12.75">
      <c r="B435" s="179"/>
      <c r="C435" s="179"/>
    </row>
  </sheetData>
  <sheetProtection/>
  <mergeCells count="1322">
    <mergeCell ref="Q277:R277"/>
    <mergeCell ref="AH277:AI277"/>
    <mergeCell ref="AR277:AS277"/>
    <mergeCell ref="BF277:BG277"/>
    <mergeCell ref="BF327:BG327"/>
    <mergeCell ref="BF312:BG312"/>
    <mergeCell ref="BF313:BG313"/>
    <mergeCell ref="BF314:BG314"/>
    <mergeCell ref="BF324:BG324"/>
    <mergeCell ref="BF302:BG302"/>
    <mergeCell ref="Q402:R402"/>
    <mergeCell ref="Q403:R403"/>
    <mergeCell ref="Q398:R398"/>
    <mergeCell ref="Q399:R399"/>
    <mergeCell ref="Q396:R396"/>
    <mergeCell ref="Q397:R397"/>
    <mergeCell ref="Q400:R400"/>
    <mergeCell ref="Q401:R401"/>
    <mergeCell ref="BF376:BG376"/>
    <mergeCell ref="AH374:AI374"/>
    <mergeCell ref="AR374:AS374"/>
    <mergeCell ref="BF374:BG374"/>
    <mergeCell ref="Q375:R375"/>
    <mergeCell ref="AH375:AI375"/>
    <mergeCell ref="AR375:AS375"/>
    <mergeCell ref="BF375:BG375"/>
    <mergeCell ref="AR376:AS376"/>
    <mergeCell ref="AH372:AI372"/>
    <mergeCell ref="AR372:AS372"/>
    <mergeCell ref="BF372:BG372"/>
    <mergeCell ref="Q373:R373"/>
    <mergeCell ref="AH373:AI373"/>
    <mergeCell ref="AR373:AS373"/>
    <mergeCell ref="BF373:BG373"/>
    <mergeCell ref="Q372:R372"/>
    <mergeCell ref="AR370:AS370"/>
    <mergeCell ref="BF370:BG370"/>
    <mergeCell ref="Q371:R371"/>
    <mergeCell ref="AH371:AI371"/>
    <mergeCell ref="AR371:AS371"/>
    <mergeCell ref="BF371:BG371"/>
    <mergeCell ref="Q370:R370"/>
    <mergeCell ref="BF364:BG364"/>
    <mergeCell ref="BF365:BG365"/>
    <mergeCell ref="AH369:AI369"/>
    <mergeCell ref="AR369:AS369"/>
    <mergeCell ref="BF369:BG369"/>
    <mergeCell ref="AH366:AI366"/>
    <mergeCell ref="AH367:AI367"/>
    <mergeCell ref="AH368:AI368"/>
    <mergeCell ref="AH364:AI364"/>
    <mergeCell ref="AH365:AI365"/>
    <mergeCell ref="AR364:AS364"/>
    <mergeCell ref="AR365:AS365"/>
    <mergeCell ref="AR368:AS368"/>
    <mergeCell ref="AR366:AS366"/>
    <mergeCell ref="AR367:AS367"/>
    <mergeCell ref="AH109:AI109"/>
    <mergeCell ref="AR109:AS109"/>
    <mergeCell ref="AR345:AS345"/>
    <mergeCell ref="AR346:AS346"/>
    <mergeCell ref="AR347:AS347"/>
    <mergeCell ref="AH110:AI110"/>
    <mergeCell ref="AR110:AS110"/>
    <mergeCell ref="BF110:BG110"/>
    <mergeCell ref="BF351:BG351"/>
    <mergeCell ref="BF345:BG345"/>
    <mergeCell ref="BF346:BG346"/>
    <mergeCell ref="BF347:BG347"/>
    <mergeCell ref="BF348:BG348"/>
    <mergeCell ref="AR329:AS329"/>
    <mergeCell ref="BF329:BG329"/>
    <mergeCell ref="Q103:R103"/>
    <mergeCell ref="AH105:AI105"/>
    <mergeCell ref="AR105:AS105"/>
    <mergeCell ref="BF105:BG105"/>
    <mergeCell ref="Q106:R106"/>
    <mergeCell ref="AH106:AI106"/>
    <mergeCell ref="AR106:AS106"/>
    <mergeCell ref="BF106:BG106"/>
    <mergeCell ref="Q102:R102"/>
    <mergeCell ref="AH102:AI102"/>
    <mergeCell ref="AR102:AS102"/>
    <mergeCell ref="BF102:BG102"/>
    <mergeCell ref="AH99:AI99"/>
    <mergeCell ref="AH104:AI104"/>
    <mergeCell ref="AR104:AS104"/>
    <mergeCell ref="BF104:BG104"/>
    <mergeCell ref="Q101:R101"/>
    <mergeCell ref="AH101:AI101"/>
    <mergeCell ref="Q97:R97"/>
    <mergeCell ref="AH97:AI97"/>
    <mergeCell ref="AR97:AS97"/>
    <mergeCell ref="BF97:BG97"/>
    <mergeCell ref="Q98:R98"/>
    <mergeCell ref="AH98:AI98"/>
    <mergeCell ref="AR98:AS98"/>
    <mergeCell ref="BF98:BG98"/>
    <mergeCell ref="Q95:R95"/>
    <mergeCell ref="AH95:AI95"/>
    <mergeCell ref="AR95:AS95"/>
    <mergeCell ref="BF95:BG95"/>
    <mergeCell ref="Q96:R96"/>
    <mergeCell ref="AH96:AI96"/>
    <mergeCell ref="AR96:AS96"/>
    <mergeCell ref="BF96:BG96"/>
    <mergeCell ref="BF388:BG388"/>
    <mergeCell ref="BF382:BG382"/>
    <mergeCell ref="BF383:BG383"/>
    <mergeCell ref="BF384:BG384"/>
    <mergeCell ref="BF385:BG385"/>
    <mergeCell ref="BF386:BG386"/>
    <mergeCell ref="BF387:BG387"/>
    <mergeCell ref="BF377:BG377"/>
    <mergeCell ref="BF378:BG378"/>
    <mergeCell ref="BF379:BG379"/>
    <mergeCell ref="BF380:BG380"/>
    <mergeCell ref="BF381:BG381"/>
    <mergeCell ref="BF352:BG352"/>
    <mergeCell ref="BF353:BG353"/>
    <mergeCell ref="BF366:BG366"/>
    <mergeCell ref="BF367:BG367"/>
    <mergeCell ref="BF368:BG368"/>
    <mergeCell ref="BF349:BG349"/>
    <mergeCell ref="BF350:BG350"/>
    <mergeCell ref="BF336:BG336"/>
    <mergeCell ref="BF337:BG337"/>
    <mergeCell ref="BF338:BG338"/>
    <mergeCell ref="BF342:BG342"/>
    <mergeCell ref="BF343:BG343"/>
    <mergeCell ref="BF344:BG344"/>
    <mergeCell ref="BF339:BG339"/>
    <mergeCell ref="BF340:BG340"/>
    <mergeCell ref="BF341:BG341"/>
    <mergeCell ref="BF330:BG330"/>
    <mergeCell ref="BF331:BG331"/>
    <mergeCell ref="BF332:BG332"/>
    <mergeCell ref="BF333:BG333"/>
    <mergeCell ref="BF334:BG334"/>
    <mergeCell ref="BF335:BG335"/>
    <mergeCell ref="BF328:BG328"/>
    <mergeCell ref="BF308:BG308"/>
    <mergeCell ref="BF325:BG325"/>
    <mergeCell ref="BF309:BG309"/>
    <mergeCell ref="BF310:BG310"/>
    <mergeCell ref="BF311:BG311"/>
    <mergeCell ref="BF326:BG326"/>
    <mergeCell ref="BF303:BG303"/>
    <mergeCell ref="BF304:BG304"/>
    <mergeCell ref="BF305:BG305"/>
    <mergeCell ref="BF306:BG306"/>
    <mergeCell ref="BF307:BG307"/>
    <mergeCell ref="BF295:BG295"/>
    <mergeCell ref="BF296:BG296"/>
    <mergeCell ref="BF297:BG297"/>
    <mergeCell ref="BF298:BG298"/>
    <mergeCell ref="BF299:BG299"/>
    <mergeCell ref="BF300:BG300"/>
    <mergeCell ref="BF289:BG289"/>
    <mergeCell ref="BF286:BG286"/>
    <mergeCell ref="BF287:BG287"/>
    <mergeCell ref="BF288:BG288"/>
    <mergeCell ref="BF293:BG293"/>
    <mergeCell ref="BF294:BG294"/>
    <mergeCell ref="BF290:BG290"/>
    <mergeCell ref="BF292:BG292"/>
    <mergeCell ref="BF291:BG291"/>
    <mergeCell ref="BF278:BG278"/>
    <mergeCell ref="BF281:BG281"/>
    <mergeCell ref="BF282:BG282"/>
    <mergeCell ref="BF283:BG283"/>
    <mergeCell ref="BF284:BG284"/>
    <mergeCell ref="BF285:BG285"/>
    <mergeCell ref="BF279:BG279"/>
    <mergeCell ref="BF280:BG280"/>
    <mergeCell ref="BF268:BG268"/>
    <mergeCell ref="BF274:BG274"/>
    <mergeCell ref="BF276:BG276"/>
    <mergeCell ref="BF269:BG269"/>
    <mergeCell ref="BF270:BG270"/>
    <mergeCell ref="BF271:BG271"/>
    <mergeCell ref="BF272:BG272"/>
    <mergeCell ref="BF273:BG273"/>
    <mergeCell ref="BF275:BG275"/>
    <mergeCell ref="BF262:BG262"/>
    <mergeCell ref="BF263:BG263"/>
    <mergeCell ref="BF264:BG264"/>
    <mergeCell ref="BF265:BG265"/>
    <mergeCell ref="BF266:BG266"/>
    <mergeCell ref="BF267:BG267"/>
    <mergeCell ref="BF256:BG256"/>
    <mergeCell ref="BF257:BG257"/>
    <mergeCell ref="BF258:BG258"/>
    <mergeCell ref="BF259:BG259"/>
    <mergeCell ref="BF260:BG260"/>
    <mergeCell ref="BF261:BG261"/>
    <mergeCell ref="BF250:BG250"/>
    <mergeCell ref="BF251:BG251"/>
    <mergeCell ref="BF252:BG252"/>
    <mergeCell ref="BF253:BG253"/>
    <mergeCell ref="BF254:BG254"/>
    <mergeCell ref="BF255:BG255"/>
    <mergeCell ref="BF245:BG245"/>
    <mergeCell ref="BF246:BG246"/>
    <mergeCell ref="BF247:BG247"/>
    <mergeCell ref="BF248:BG248"/>
    <mergeCell ref="BF249:BG249"/>
    <mergeCell ref="BF239:BG239"/>
    <mergeCell ref="BF240:BG240"/>
    <mergeCell ref="BF241:BG241"/>
    <mergeCell ref="BF242:BG242"/>
    <mergeCell ref="BF243:BG243"/>
    <mergeCell ref="BF223:BG223"/>
    <mergeCell ref="BF219:BG219"/>
    <mergeCell ref="BF220:BG220"/>
    <mergeCell ref="BF244:BG244"/>
    <mergeCell ref="BF224:BG224"/>
    <mergeCell ref="BF225:BG225"/>
    <mergeCell ref="BF235:BG235"/>
    <mergeCell ref="BF236:BG236"/>
    <mergeCell ref="BF237:BG237"/>
    <mergeCell ref="BF238:BG238"/>
    <mergeCell ref="BF209:BG209"/>
    <mergeCell ref="BF210:BG210"/>
    <mergeCell ref="BF211:BG211"/>
    <mergeCell ref="BF215:BG215"/>
    <mergeCell ref="BF216:BG216"/>
    <mergeCell ref="BF212:BG212"/>
    <mergeCell ref="BF213:BG213"/>
    <mergeCell ref="BF214:BG214"/>
    <mergeCell ref="BF203:BG203"/>
    <mergeCell ref="BF204:BG204"/>
    <mergeCell ref="BF205:BG205"/>
    <mergeCell ref="BF206:BG206"/>
    <mergeCell ref="BF207:BG207"/>
    <mergeCell ref="BF208:BG208"/>
    <mergeCell ref="BF197:BG197"/>
    <mergeCell ref="BF198:BG198"/>
    <mergeCell ref="BF199:BG199"/>
    <mergeCell ref="BF200:BG200"/>
    <mergeCell ref="BF201:BG201"/>
    <mergeCell ref="BF202:BG202"/>
    <mergeCell ref="BF195:BG195"/>
    <mergeCell ref="BF196:BG196"/>
    <mergeCell ref="BF191:BG191"/>
    <mergeCell ref="BF192:BG192"/>
    <mergeCell ref="BF193:BG193"/>
    <mergeCell ref="BF194:BG194"/>
    <mergeCell ref="BF182:BG182"/>
    <mergeCell ref="BF186:BG186"/>
    <mergeCell ref="BF187:BG187"/>
    <mergeCell ref="BF188:BG188"/>
    <mergeCell ref="BF189:BG189"/>
    <mergeCell ref="BF190:BG190"/>
    <mergeCell ref="BF173:BG173"/>
    <mergeCell ref="BF174:BG174"/>
    <mergeCell ref="BF175:BG175"/>
    <mergeCell ref="BF176:BG176"/>
    <mergeCell ref="BF177:BG177"/>
    <mergeCell ref="BF185:BG185"/>
    <mergeCell ref="BF178:BG178"/>
    <mergeCell ref="BF179:BG179"/>
    <mergeCell ref="BF180:BG180"/>
    <mergeCell ref="BF181:BG181"/>
    <mergeCell ref="BF167:BG167"/>
    <mergeCell ref="BF168:BG168"/>
    <mergeCell ref="BF169:BG169"/>
    <mergeCell ref="BF170:BG170"/>
    <mergeCell ref="BF171:BG171"/>
    <mergeCell ref="BF172:BG172"/>
    <mergeCell ref="BF161:BG161"/>
    <mergeCell ref="BF162:BG162"/>
    <mergeCell ref="BF163:BG163"/>
    <mergeCell ref="BF164:BG164"/>
    <mergeCell ref="BF165:BG165"/>
    <mergeCell ref="BF166:BG166"/>
    <mergeCell ref="BF155:BG155"/>
    <mergeCell ref="BF156:BG156"/>
    <mergeCell ref="BF157:BG157"/>
    <mergeCell ref="BF158:BG158"/>
    <mergeCell ref="BF159:BG159"/>
    <mergeCell ref="BF160:BG160"/>
    <mergeCell ref="BF137:BG137"/>
    <mergeCell ref="BF138:BG138"/>
    <mergeCell ref="BF139:BG139"/>
    <mergeCell ref="BF144:BG144"/>
    <mergeCell ref="BF145:BG145"/>
    <mergeCell ref="BF146:BG146"/>
    <mergeCell ref="BF131:BG131"/>
    <mergeCell ref="BF132:BG132"/>
    <mergeCell ref="BF133:BG133"/>
    <mergeCell ref="BF134:BG134"/>
    <mergeCell ref="BF135:BG135"/>
    <mergeCell ref="BF136:BG136"/>
    <mergeCell ref="BF125:BG125"/>
    <mergeCell ref="BF126:BG126"/>
    <mergeCell ref="BF127:BG127"/>
    <mergeCell ref="BF128:BG128"/>
    <mergeCell ref="BF129:BG129"/>
    <mergeCell ref="BF130:BG130"/>
    <mergeCell ref="BF119:BG119"/>
    <mergeCell ref="BF120:BG120"/>
    <mergeCell ref="BF121:BG121"/>
    <mergeCell ref="BF122:BG122"/>
    <mergeCell ref="BF123:BG123"/>
    <mergeCell ref="BF124:BG124"/>
    <mergeCell ref="BF116:BG116"/>
    <mergeCell ref="BF117:BG117"/>
    <mergeCell ref="BF118:BG118"/>
    <mergeCell ref="BF91:BG91"/>
    <mergeCell ref="BF92:BG92"/>
    <mergeCell ref="BF93:BG93"/>
    <mergeCell ref="BF99:BG99"/>
    <mergeCell ref="BF103:BG103"/>
    <mergeCell ref="BF94:BG94"/>
    <mergeCell ref="BF101:BG101"/>
    <mergeCell ref="BF87:BG87"/>
    <mergeCell ref="BF88:BG88"/>
    <mergeCell ref="BF89:BG89"/>
    <mergeCell ref="BF90:BG90"/>
    <mergeCell ref="BF114:BG114"/>
    <mergeCell ref="BF115:BG115"/>
    <mergeCell ref="BF107:BG107"/>
    <mergeCell ref="BF108:BG108"/>
    <mergeCell ref="BF109:BG109"/>
    <mergeCell ref="BF81:BG81"/>
    <mergeCell ref="BF82:BG82"/>
    <mergeCell ref="BF83:BG83"/>
    <mergeCell ref="BF84:BG84"/>
    <mergeCell ref="BF85:BG85"/>
    <mergeCell ref="BF86:BG86"/>
    <mergeCell ref="BF75:BG75"/>
    <mergeCell ref="BF76:BG76"/>
    <mergeCell ref="BF77:BG77"/>
    <mergeCell ref="BF78:BG78"/>
    <mergeCell ref="BF79:BG79"/>
    <mergeCell ref="BF80:BG80"/>
    <mergeCell ref="BF68:BG68"/>
    <mergeCell ref="BF69:BG69"/>
    <mergeCell ref="BF70:BG70"/>
    <mergeCell ref="BF71:BG71"/>
    <mergeCell ref="BF73:BG73"/>
    <mergeCell ref="BF74:BG74"/>
    <mergeCell ref="BF72:BG72"/>
    <mergeCell ref="BF62:BG62"/>
    <mergeCell ref="BF63:BG63"/>
    <mergeCell ref="BF64:BG64"/>
    <mergeCell ref="BF65:BG65"/>
    <mergeCell ref="BF66:BG66"/>
    <mergeCell ref="BF67:BG67"/>
    <mergeCell ref="BF56:BG56"/>
    <mergeCell ref="BF58:BG58"/>
    <mergeCell ref="BF59:BG59"/>
    <mergeCell ref="BF60:BG60"/>
    <mergeCell ref="BF61:BG61"/>
    <mergeCell ref="BF57:BG57"/>
    <mergeCell ref="BF50:BG50"/>
    <mergeCell ref="BF51:BG51"/>
    <mergeCell ref="BF52:BG52"/>
    <mergeCell ref="BF53:BG53"/>
    <mergeCell ref="BF54:BG54"/>
    <mergeCell ref="BF55:BG55"/>
    <mergeCell ref="BF43:BG43"/>
    <mergeCell ref="BF44:BG44"/>
    <mergeCell ref="BF45:BG45"/>
    <mergeCell ref="BF47:BG47"/>
    <mergeCell ref="BF48:BG48"/>
    <mergeCell ref="BF49:BG49"/>
    <mergeCell ref="BF46:BG46"/>
    <mergeCell ref="BF35:BG35"/>
    <mergeCell ref="BF37:BG37"/>
    <mergeCell ref="BF38:BG38"/>
    <mergeCell ref="BF40:BG40"/>
    <mergeCell ref="BF41:BG41"/>
    <mergeCell ref="BF42:BG42"/>
    <mergeCell ref="BF39:BG39"/>
    <mergeCell ref="AR387:AS387"/>
    <mergeCell ref="AR388:AS388"/>
    <mergeCell ref="AR382:AS382"/>
    <mergeCell ref="AR383:AS383"/>
    <mergeCell ref="AR384:AS384"/>
    <mergeCell ref="AR385:AS385"/>
    <mergeCell ref="AR386:AS386"/>
    <mergeCell ref="AR377:AS377"/>
    <mergeCell ref="AR378:AS378"/>
    <mergeCell ref="AR379:AS379"/>
    <mergeCell ref="AR380:AS380"/>
    <mergeCell ref="AR381:AS381"/>
    <mergeCell ref="AR351:AS351"/>
    <mergeCell ref="AR352:AS352"/>
    <mergeCell ref="AR353:AS353"/>
    <mergeCell ref="AR355:AS355"/>
    <mergeCell ref="AR354:AS354"/>
    <mergeCell ref="AR348:AS348"/>
    <mergeCell ref="AR349:AS349"/>
    <mergeCell ref="AR350:AS350"/>
    <mergeCell ref="AR336:AS336"/>
    <mergeCell ref="AR337:AS337"/>
    <mergeCell ref="AR338:AS338"/>
    <mergeCell ref="AR342:AS342"/>
    <mergeCell ref="AR343:AS343"/>
    <mergeCell ref="AR344:AS344"/>
    <mergeCell ref="AR339:AS339"/>
    <mergeCell ref="AR340:AS340"/>
    <mergeCell ref="AR341:AS341"/>
    <mergeCell ref="AR330:AS330"/>
    <mergeCell ref="AR331:AS331"/>
    <mergeCell ref="AR332:AS332"/>
    <mergeCell ref="AR333:AS333"/>
    <mergeCell ref="AR334:AS334"/>
    <mergeCell ref="AR335:AS335"/>
    <mergeCell ref="AR327:AS327"/>
    <mergeCell ref="AR312:AS312"/>
    <mergeCell ref="AR313:AS313"/>
    <mergeCell ref="AR314:AS314"/>
    <mergeCell ref="AR324:AS324"/>
    <mergeCell ref="AR328:AS328"/>
    <mergeCell ref="AR308:AS308"/>
    <mergeCell ref="AR325:AS325"/>
    <mergeCell ref="AR309:AS309"/>
    <mergeCell ref="AR310:AS310"/>
    <mergeCell ref="AR311:AS311"/>
    <mergeCell ref="AR326:AS326"/>
    <mergeCell ref="AR302:AS302"/>
    <mergeCell ref="AR303:AS303"/>
    <mergeCell ref="AR304:AS304"/>
    <mergeCell ref="AR305:AS305"/>
    <mergeCell ref="AR306:AS306"/>
    <mergeCell ref="AR307:AS307"/>
    <mergeCell ref="AR295:AS295"/>
    <mergeCell ref="AR296:AS296"/>
    <mergeCell ref="AR297:AS297"/>
    <mergeCell ref="AR298:AS298"/>
    <mergeCell ref="AR299:AS299"/>
    <mergeCell ref="AR300:AS300"/>
    <mergeCell ref="AR289:AS289"/>
    <mergeCell ref="AR286:AS286"/>
    <mergeCell ref="AR287:AS287"/>
    <mergeCell ref="AR288:AS288"/>
    <mergeCell ref="AR293:AS293"/>
    <mergeCell ref="AR294:AS294"/>
    <mergeCell ref="AR290:AS290"/>
    <mergeCell ref="AR292:AS292"/>
    <mergeCell ref="AR291:AS291"/>
    <mergeCell ref="AR278:AS278"/>
    <mergeCell ref="AR281:AS281"/>
    <mergeCell ref="AR282:AS282"/>
    <mergeCell ref="AR283:AS283"/>
    <mergeCell ref="AR284:AS284"/>
    <mergeCell ref="AR285:AS285"/>
    <mergeCell ref="AR279:AS279"/>
    <mergeCell ref="AR280:AS280"/>
    <mergeCell ref="AR268:AS268"/>
    <mergeCell ref="AR274:AS274"/>
    <mergeCell ref="AR276:AS276"/>
    <mergeCell ref="AR269:AS269"/>
    <mergeCell ref="AR270:AS270"/>
    <mergeCell ref="AR271:AS271"/>
    <mergeCell ref="AR272:AS272"/>
    <mergeCell ref="AR273:AS273"/>
    <mergeCell ref="AR275:AS275"/>
    <mergeCell ref="AR262:AS262"/>
    <mergeCell ref="AR263:AS263"/>
    <mergeCell ref="AR264:AS264"/>
    <mergeCell ref="AR265:AS265"/>
    <mergeCell ref="AR266:AS266"/>
    <mergeCell ref="AR267:AS267"/>
    <mergeCell ref="AR256:AS256"/>
    <mergeCell ref="AR257:AS257"/>
    <mergeCell ref="AR258:AS258"/>
    <mergeCell ref="AR259:AS259"/>
    <mergeCell ref="AR260:AS260"/>
    <mergeCell ref="AR261:AS261"/>
    <mergeCell ref="AR250:AS250"/>
    <mergeCell ref="AR251:AS251"/>
    <mergeCell ref="AR252:AS252"/>
    <mergeCell ref="AR253:AS253"/>
    <mergeCell ref="AR254:AS254"/>
    <mergeCell ref="AR255:AS255"/>
    <mergeCell ref="AR245:AS245"/>
    <mergeCell ref="AR246:AS246"/>
    <mergeCell ref="AR247:AS247"/>
    <mergeCell ref="AR248:AS248"/>
    <mergeCell ref="AR249:AS249"/>
    <mergeCell ref="AR239:AS239"/>
    <mergeCell ref="AR240:AS240"/>
    <mergeCell ref="AR241:AS241"/>
    <mergeCell ref="AR242:AS242"/>
    <mergeCell ref="AR243:AS243"/>
    <mergeCell ref="AR244:AS244"/>
    <mergeCell ref="AR224:AS224"/>
    <mergeCell ref="AR225:AS225"/>
    <mergeCell ref="AR235:AS235"/>
    <mergeCell ref="AR236:AS236"/>
    <mergeCell ref="AR237:AS237"/>
    <mergeCell ref="AR238:AS238"/>
    <mergeCell ref="AR209:AS209"/>
    <mergeCell ref="AR210:AS210"/>
    <mergeCell ref="AR211:AS211"/>
    <mergeCell ref="AR215:AS215"/>
    <mergeCell ref="AR216:AS216"/>
    <mergeCell ref="AR212:AS212"/>
    <mergeCell ref="AR213:AS213"/>
    <mergeCell ref="AR214:AS214"/>
    <mergeCell ref="AR203:AS203"/>
    <mergeCell ref="AR204:AS204"/>
    <mergeCell ref="AR205:AS205"/>
    <mergeCell ref="AR206:AS206"/>
    <mergeCell ref="AR207:AS207"/>
    <mergeCell ref="AR208:AS208"/>
    <mergeCell ref="AR197:AS197"/>
    <mergeCell ref="AR198:AS198"/>
    <mergeCell ref="AR199:AS199"/>
    <mergeCell ref="AR200:AS200"/>
    <mergeCell ref="AR201:AS201"/>
    <mergeCell ref="AR202:AS202"/>
    <mergeCell ref="AR195:AS195"/>
    <mergeCell ref="AR196:AS196"/>
    <mergeCell ref="AR191:AS191"/>
    <mergeCell ref="AR192:AS192"/>
    <mergeCell ref="AR193:AS193"/>
    <mergeCell ref="AR194:AS194"/>
    <mergeCell ref="AR182:AS182"/>
    <mergeCell ref="AR186:AS186"/>
    <mergeCell ref="AR187:AS187"/>
    <mergeCell ref="AR188:AS188"/>
    <mergeCell ref="AR189:AS189"/>
    <mergeCell ref="AR190:AS190"/>
    <mergeCell ref="AR173:AS173"/>
    <mergeCell ref="AR174:AS174"/>
    <mergeCell ref="AR175:AS175"/>
    <mergeCell ref="AR176:AS176"/>
    <mergeCell ref="AR177:AS177"/>
    <mergeCell ref="AR185:AS185"/>
    <mergeCell ref="AR178:AS178"/>
    <mergeCell ref="AR179:AS179"/>
    <mergeCell ref="AR180:AS180"/>
    <mergeCell ref="AR181:AS181"/>
    <mergeCell ref="AR167:AS167"/>
    <mergeCell ref="AR168:AS168"/>
    <mergeCell ref="AR169:AS169"/>
    <mergeCell ref="AR170:AS170"/>
    <mergeCell ref="AR171:AS171"/>
    <mergeCell ref="AR172:AS172"/>
    <mergeCell ref="AR161:AS161"/>
    <mergeCell ref="AR162:AS162"/>
    <mergeCell ref="AR163:AS163"/>
    <mergeCell ref="AR164:AS164"/>
    <mergeCell ref="AR165:AS165"/>
    <mergeCell ref="AR166:AS166"/>
    <mergeCell ref="AR155:AS155"/>
    <mergeCell ref="AR156:AS156"/>
    <mergeCell ref="AR157:AS157"/>
    <mergeCell ref="AR158:AS158"/>
    <mergeCell ref="AR159:AS159"/>
    <mergeCell ref="AR160:AS160"/>
    <mergeCell ref="AR137:AS137"/>
    <mergeCell ref="AR138:AS138"/>
    <mergeCell ref="AR139:AS139"/>
    <mergeCell ref="AR144:AS144"/>
    <mergeCell ref="AR145:AS145"/>
    <mergeCell ref="AR146:AS146"/>
    <mergeCell ref="AR131:AS131"/>
    <mergeCell ref="AR132:AS132"/>
    <mergeCell ref="AR133:AS133"/>
    <mergeCell ref="AR134:AS134"/>
    <mergeCell ref="AR135:AS135"/>
    <mergeCell ref="AR136:AS136"/>
    <mergeCell ref="AR125:AS125"/>
    <mergeCell ref="AR126:AS126"/>
    <mergeCell ref="AR127:AS127"/>
    <mergeCell ref="AR128:AS128"/>
    <mergeCell ref="AR129:AS129"/>
    <mergeCell ref="AR130:AS130"/>
    <mergeCell ref="AR119:AS119"/>
    <mergeCell ref="AR120:AS120"/>
    <mergeCell ref="AR121:AS121"/>
    <mergeCell ref="AR122:AS122"/>
    <mergeCell ref="AR123:AS123"/>
    <mergeCell ref="AR124:AS124"/>
    <mergeCell ref="AR116:AS116"/>
    <mergeCell ref="AR117:AS117"/>
    <mergeCell ref="AR118:AS118"/>
    <mergeCell ref="AR91:AS91"/>
    <mergeCell ref="AR92:AS92"/>
    <mergeCell ref="AR93:AS93"/>
    <mergeCell ref="AR99:AS99"/>
    <mergeCell ref="AR103:AS103"/>
    <mergeCell ref="AR94:AS94"/>
    <mergeCell ref="AR101:AS101"/>
    <mergeCell ref="AR87:AS87"/>
    <mergeCell ref="AR88:AS88"/>
    <mergeCell ref="AR89:AS89"/>
    <mergeCell ref="AR90:AS90"/>
    <mergeCell ref="AR114:AS114"/>
    <mergeCell ref="AR115:AS115"/>
    <mergeCell ref="AR107:AS107"/>
    <mergeCell ref="AR108:AS108"/>
    <mergeCell ref="AR81:AS81"/>
    <mergeCell ref="AR82:AS82"/>
    <mergeCell ref="AR83:AS83"/>
    <mergeCell ref="AR84:AS84"/>
    <mergeCell ref="AR85:AS85"/>
    <mergeCell ref="AR86:AS86"/>
    <mergeCell ref="AR75:AS75"/>
    <mergeCell ref="AR76:AS76"/>
    <mergeCell ref="AR77:AS77"/>
    <mergeCell ref="AR78:AS78"/>
    <mergeCell ref="AR79:AS79"/>
    <mergeCell ref="AR80:AS80"/>
    <mergeCell ref="AR68:AS68"/>
    <mergeCell ref="AR69:AS69"/>
    <mergeCell ref="AR70:AS70"/>
    <mergeCell ref="AR71:AS71"/>
    <mergeCell ref="AR73:AS73"/>
    <mergeCell ref="AR74:AS74"/>
    <mergeCell ref="AR62:AS62"/>
    <mergeCell ref="AR63:AS63"/>
    <mergeCell ref="AR64:AS64"/>
    <mergeCell ref="AR65:AS65"/>
    <mergeCell ref="AR66:AS66"/>
    <mergeCell ref="AR67:AS67"/>
    <mergeCell ref="AR56:AS56"/>
    <mergeCell ref="AR58:AS58"/>
    <mergeCell ref="AR59:AS59"/>
    <mergeCell ref="AR60:AS60"/>
    <mergeCell ref="AR61:AS61"/>
    <mergeCell ref="AR57:AS57"/>
    <mergeCell ref="AR50:AS50"/>
    <mergeCell ref="AR51:AS51"/>
    <mergeCell ref="AR52:AS52"/>
    <mergeCell ref="AR53:AS53"/>
    <mergeCell ref="AR54:AS54"/>
    <mergeCell ref="AR55:AS55"/>
    <mergeCell ref="AR43:AS43"/>
    <mergeCell ref="AR44:AS44"/>
    <mergeCell ref="AR45:AS45"/>
    <mergeCell ref="AR47:AS47"/>
    <mergeCell ref="AR48:AS48"/>
    <mergeCell ref="AR49:AS49"/>
    <mergeCell ref="AR35:AS35"/>
    <mergeCell ref="AR37:AS37"/>
    <mergeCell ref="AR38:AS38"/>
    <mergeCell ref="AR40:AS40"/>
    <mergeCell ref="AR41:AS41"/>
    <mergeCell ref="AR42:AS42"/>
    <mergeCell ref="AR39:AS39"/>
    <mergeCell ref="AH388:AI388"/>
    <mergeCell ref="AH384:AI384"/>
    <mergeCell ref="AH385:AI385"/>
    <mergeCell ref="AH386:AI386"/>
    <mergeCell ref="AH387:AI387"/>
    <mergeCell ref="AH353:AI353"/>
    <mergeCell ref="AH379:AI379"/>
    <mergeCell ref="AH380:AI380"/>
    <mergeCell ref="AH381:AI381"/>
    <mergeCell ref="AH382:AI382"/>
    <mergeCell ref="AH383:AI383"/>
    <mergeCell ref="AH376:AI376"/>
    <mergeCell ref="AH377:AI377"/>
    <mergeCell ref="AH378:AI378"/>
    <mergeCell ref="AH370:AI370"/>
    <mergeCell ref="AH347:AI347"/>
    <mergeCell ref="AH348:AI348"/>
    <mergeCell ref="AH349:AI349"/>
    <mergeCell ref="AH350:AI350"/>
    <mergeCell ref="AH351:AI351"/>
    <mergeCell ref="AH352:AI352"/>
    <mergeCell ref="AH341:AI341"/>
    <mergeCell ref="AH342:AI342"/>
    <mergeCell ref="AH343:AI343"/>
    <mergeCell ref="AH344:AI344"/>
    <mergeCell ref="AH345:AI345"/>
    <mergeCell ref="AH346:AI346"/>
    <mergeCell ref="AH335:AI335"/>
    <mergeCell ref="AH336:AI336"/>
    <mergeCell ref="AH337:AI337"/>
    <mergeCell ref="AH338:AI338"/>
    <mergeCell ref="AH339:AI339"/>
    <mergeCell ref="AH340:AI340"/>
    <mergeCell ref="AH328:AI328"/>
    <mergeCell ref="AH330:AI330"/>
    <mergeCell ref="AH331:AI331"/>
    <mergeCell ref="AH332:AI332"/>
    <mergeCell ref="AH333:AI333"/>
    <mergeCell ref="AH334:AI334"/>
    <mergeCell ref="AH329:AI329"/>
    <mergeCell ref="AH324:AI324"/>
    <mergeCell ref="AH325:AI325"/>
    <mergeCell ref="AH326:AI326"/>
    <mergeCell ref="AH327:AI327"/>
    <mergeCell ref="AH312:AI312"/>
    <mergeCell ref="AH313:AI313"/>
    <mergeCell ref="AH303:AI303"/>
    <mergeCell ref="AH304:AI304"/>
    <mergeCell ref="AH305:AI305"/>
    <mergeCell ref="AH314:AI314"/>
    <mergeCell ref="AH306:AI306"/>
    <mergeCell ref="AH307:AI307"/>
    <mergeCell ref="AH308:AI308"/>
    <mergeCell ref="AH309:AI309"/>
    <mergeCell ref="AH310:AI310"/>
    <mergeCell ref="AH311:AI311"/>
    <mergeCell ref="AH296:AI296"/>
    <mergeCell ref="AH297:AI297"/>
    <mergeCell ref="AH298:AI298"/>
    <mergeCell ref="AH299:AI299"/>
    <mergeCell ref="AH300:AI300"/>
    <mergeCell ref="AH302:AI302"/>
    <mergeCell ref="AH293:AI293"/>
    <mergeCell ref="AH294:AI294"/>
    <mergeCell ref="AH295:AI295"/>
    <mergeCell ref="AH286:AI286"/>
    <mergeCell ref="AH287:AI287"/>
    <mergeCell ref="AH288:AI288"/>
    <mergeCell ref="AH289:AI289"/>
    <mergeCell ref="AH273:AI273"/>
    <mergeCell ref="AH274:AI274"/>
    <mergeCell ref="AH279:AI279"/>
    <mergeCell ref="AH283:AI283"/>
    <mergeCell ref="AH284:AI284"/>
    <mergeCell ref="AH285:AI285"/>
    <mergeCell ref="AH280:AI280"/>
    <mergeCell ref="AH275:AI275"/>
    <mergeCell ref="AH269:AI269"/>
    <mergeCell ref="AH270:AI270"/>
    <mergeCell ref="AH276:AI276"/>
    <mergeCell ref="AH278:AI278"/>
    <mergeCell ref="AH281:AI281"/>
    <mergeCell ref="Q290:R290"/>
    <mergeCell ref="AH290:AI290"/>
    <mergeCell ref="AH282:AI282"/>
    <mergeCell ref="AH271:AI271"/>
    <mergeCell ref="AH272:AI272"/>
    <mergeCell ref="AH263:AI263"/>
    <mergeCell ref="AH264:AI264"/>
    <mergeCell ref="AH265:AI265"/>
    <mergeCell ref="AH266:AI266"/>
    <mergeCell ref="AH267:AI267"/>
    <mergeCell ref="AH268:AI268"/>
    <mergeCell ref="AH257:AI257"/>
    <mergeCell ref="AH258:AI258"/>
    <mergeCell ref="AH259:AI259"/>
    <mergeCell ref="AH260:AI260"/>
    <mergeCell ref="AH261:AI261"/>
    <mergeCell ref="AH262:AI262"/>
    <mergeCell ref="AH251:AI251"/>
    <mergeCell ref="AH252:AI252"/>
    <mergeCell ref="AH253:AI253"/>
    <mergeCell ref="AH254:AI254"/>
    <mergeCell ref="AH255:AI255"/>
    <mergeCell ref="AH256:AI256"/>
    <mergeCell ref="AH246:AI246"/>
    <mergeCell ref="AH247:AI247"/>
    <mergeCell ref="AH248:AI248"/>
    <mergeCell ref="AH249:AI249"/>
    <mergeCell ref="AH250:AI250"/>
    <mergeCell ref="AH240:AI240"/>
    <mergeCell ref="AH241:AI241"/>
    <mergeCell ref="AH242:AI242"/>
    <mergeCell ref="AH243:AI243"/>
    <mergeCell ref="AH244:AI244"/>
    <mergeCell ref="AH245:AI245"/>
    <mergeCell ref="AH235:AI235"/>
    <mergeCell ref="AH236:AI236"/>
    <mergeCell ref="AH237:AI237"/>
    <mergeCell ref="AH238:AI238"/>
    <mergeCell ref="AH239:AI239"/>
    <mergeCell ref="AH224:AI224"/>
    <mergeCell ref="AH225:AI225"/>
    <mergeCell ref="AH213:AI213"/>
    <mergeCell ref="Q230:R230"/>
    <mergeCell ref="AH214:AI214"/>
    <mergeCell ref="Q228:R228"/>
    <mergeCell ref="Q227:R227"/>
    <mergeCell ref="Q226:R226"/>
    <mergeCell ref="Q225:R225"/>
    <mergeCell ref="AH222:AI222"/>
    <mergeCell ref="AH209:AI209"/>
    <mergeCell ref="AH210:AI210"/>
    <mergeCell ref="AH211:AI211"/>
    <mergeCell ref="AH212:AI212"/>
    <mergeCell ref="AH217:AI217"/>
    <mergeCell ref="AH216:AI216"/>
    <mergeCell ref="AH200:AI200"/>
    <mergeCell ref="AH201:AI201"/>
    <mergeCell ref="AH202:AI202"/>
    <mergeCell ref="AH203:AI203"/>
    <mergeCell ref="AH204:AI204"/>
    <mergeCell ref="AH205:AI205"/>
    <mergeCell ref="AH198:AI198"/>
    <mergeCell ref="AH191:AI191"/>
    <mergeCell ref="AH192:AI192"/>
    <mergeCell ref="AH193:AI193"/>
    <mergeCell ref="AH194:AI194"/>
    <mergeCell ref="AH199:AI199"/>
    <mergeCell ref="AH188:AI188"/>
    <mergeCell ref="AH189:AI189"/>
    <mergeCell ref="AH190:AI190"/>
    <mergeCell ref="AH195:AI195"/>
    <mergeCell ref="AH196:AI196"/>
    <mergeCell ref="AH197:AI197"/>
    <mergeCell ref="AH179:AI179"/>
    <mergeCell ref="AH180:AI180"/>
    <mergeCell ref="AH181:AI181"/>
    <mergeCell ref="AH182:AI182"/>
    <mergeCell ref="AH186:AI186"/>
    <mergeCell ref="AH187:AI187"/>
    <mergeCell ref="AH170:AI170"/>
    <mergeCell ref="AH171:AI171"/>
    <mergeCell ref="AH172:AI172"/>
    <mergeCell ref="AH173:AI173"/>
    <mergeCell ref="AH174:AI174"/>
    <mergeCell ref="AH185:AI185"/>
    <mergeCell ref="AH175:AI175"/>
    <mergeCell ref="AH176:AI176"/>
    <mergeCell ref="AH177:AI177"/>
    <mergeCell ref="AH178:AI178"/>
    <mergeCell ref="AH164:AI164"/>
    <mergeCell ref="AH165:AI165"/>
    <mergeCell ref="AH166:AI166"/>
    <mergeCell ref="AH167:AI167"/>
    <mergeCell ref="AH168:AI168"/>
    <mergeCell ref="AH169:AI169"/>
    <mergeCell ref="AH158:AI158"/>
    <mergeCell ref="AH159:AI159"/>
    <mergeCell ref="AH160:AI160"/>
    <mergeCell ref="AH161:AI161"/>
    <mergeCell ref="AH162:AI162"/>
    <mergeCell ref="AH163:AI163"/>
    <mergeCell ref="AH156:AI156"/>
    <mergeCell ref="AH157:AI157"/>
    <mergeCell ref="AH148:AI148"/>
    <mergeCell ref="AH150:AI150"/>
    <mergeCell ref="AH152:AI152"/>
    <mergeCell ref="AH154:AI154"/>
    <mergeCell ref="AH138:AI138"/>
    <mergeCell ref="AH139:AI139"/>
    <mergeCell ref="AH144:AI144"/>
    <mergeCell ref="AH145:AI145"/>
    <mergeCell ref="AH146:AI146"/>
    <mergeCell ref="AH155:AI155"/>
    <mergeCell ref="AH132:AI132"/>
    <mergeCell ref="AH133:AI133"/>
    <mergeCell ref="AH134:AI134"/>
    <mergeCell ref="AH135:AI135"/>
    <mergeCell ref="AH136:AI136"/>
    <mergeCell ref="AH137:AI137"/>
    <mergeCell ref="AH126:AI126"/>
    <mergeCell ref="AH127:AI127"/>
    <mergeCell ref="AH128:AI128"/>
    <mergeCell ref="AH129:AI129"/>
    <mergeCell ref="AH130:AI130"/>
    <mergeCell ref="AH131:AI131"/>
    <mergeCell ref="AH120:AI120"/>
    <mergeCell ref="AH121:AI121"/>
    <mergeCell ref="AH122:AI122"/>
    <mergeCell ref="AH123:AI123"/>
    <mergeCell ref="AH124:AI124"/>
    <mergeCell ref="AH125:AI125"/>
    <mergeCell ref="AH92:AI92"/>
    <mergeCell ref="AH93:AI93"/>
    <mergeCell ref="AH116:AI116"/>
    <mergeCell ref="AH117:AI117"/>
    <mergeCell ref="AH118:AI118"/>
    <mergeCell ref="AH119:AI119"/>
    <mergeCell ref="AH94:AI94"/>
    <mergeCell ref="AH103:AI103"/>
    <mergeCell ref="AH107:AI107"/>
    <mergeCell ref="AH108:AI108"/>
    <mergeCell ref="AH84:AI84"/>
    <mergeCell ref="AH85:AI85"/>
    <mergeCell ref="AH86:AI86"/>
    <mergeCell ref="AH87:AI87"/>
    <mergeCell ref="AH114:AI114"/>
    <mergeCell ref="AH115:AI115"/>
    <mergeCell ref="AH88:AI88"/>
    <mergeCell ref="AH89:AI89"/>
    <mergeCell ref="AH90:AI90"/>
    <mergeCell ref="AH91:AI91"/>
    <mergeCell ref="AH78:AI78"/>
    <mergeCell ref="AH79:AI79"/>
    <mergeCell ref="AH80:AI80"/>
    <mergeCell ref="AH81:AI81"/>
    <mergeCell ref="AH82:AI82"/>
    <mergeCell ref="AH83:AI83"/>
    <mergeCell ref="AH71:AI71"/>
    <mergeCell ref="AH73:AI73"/>
    <mergeCell ref="AH74:AI74"/>
    <mergeCell ref="AH75:AI75"/>
    <mergeCell ref="AH76:AI76"/>
    <mergeCell ref="AH77:AI77"/>
    <mergeCell ref="AH65:AI65"/>
    <mergeCell ref="AH66:AI66"/>
    <mergeCell ref="AH67:AI67"/>
    <mergeCell ref="AH68:AI68"/>
    <mergeCell ref="AH69:AI69"/>
    <mergeCell ref="AH70:AI70"/>
    <mergeCell ref="AH59:AI59"/>
    <mergeCell ref="AH60:AI60"/>
    <mergeCell ref="AH61:AI61"/>
    <mergeCell ref="AH62:AI62"/>
    <mergeCell ref="AH63:AI63"/>
    <mergeCell ref="AH64:AI64"/>
    <mergeCell ref="Q395:R395"/>
    <mergeCell ref="AH35:AI35"/>
    <mergeCell ref="AH37:AI37"/>
    <mergeCell ref="AH38:AI38"/>
    <mergeCell ref="AH40:AI40"/>
    <mergeCell ref="AH41:AI41"/>
    <mergeCell ref="AH42:AI42"/>
    <mergeCell ref="AH43:AI43"/>
    <mergeCell ref="AH44:AI44"/>
    <mergeCell ref="AH45:AI45"/>
    <mergeCell ref="Q391:R391"/>
    <mergeCell ref="Q392:R392"/>
    <mergeCell ref="Q393:R393"/>
    <mergeCell ref="Q394:R394"/>
    <mergeCell ref="Q387:R387"/>
    <mergeCell ref="Q388:R388"/>
    <mergeCell ref="Q389:R389"/>
    <mergeCell ref="Q390:R390"/>
    <mergeCell ref="Q385:R385"/>
    <mergeCell ref="Q386:R386"/>
    <mergeCell ref="Q376:R376"/>
    <mergeCell ref="Q377:R377"/>
    <mergeCell ref="Q378:R378"/>
    <mergeCell ref="Q379:R379"/>
    <mergeCell ref="Q380:R380"/>
    <mergeCell ref="Q382:R382"/>
    <mergeCell ref="Q383:R383"/>
    <mergeCell ref="Q384:R384"/>
    <mergeCell ref="Q364:R364"/>
    <mergeCell ref="Q365:R365"/>
    <mergeCell ref="Q369:R369"/>
    <mergeCell ref="Q374:R374"/>
    <mergeCell ref="Q381:R381"/>
    <mergeCell ref="Q366:R366"/>
    <mergeCell ref="Q367:R367"/>
    <mergeCell ref="Q368:R368"/>
    <mergeCell ref="Q351:R351"/>
    <mergeCell ref="Q352:R352"/>
    <mergeCell ref="Q353:R353"/>
    <mergeCell ref="Q345:R345"/>
    <mergeCell ref="Q346:R346"/>
    <mergeCell ref="Q347:R347"/>
    <mergeCell ref="Q348:R348"/>
    <mergeCell ref="Q349:R349"/>
    <mergeCell ref="Q350:R350"/>
    <mergeCell ref="Q338:R338"/>
    <mergeCell ref="Q342:R342"/>
    <mergeCell ref="Q343:R343"/>
    <mergeCell ref="Q344:R344"/>
    <mergeCell ref="Q339:R339"/>
    <mergeCell ref="Q340:R340"/>
    <mergeCell ref="Q341:R341"/>
    <mergeCell ref="Q314:R314"/>
    <mergeCell ref="Q315:R315"/>
    <mergeCell ref="Q328:R328"/>
    <mergeCell ref="Q330:R330"/>
    <mergeCell ref="Q331:R331"/>
    <mergeCell ref="Q332:R332"/>
    <mergeCell ref="Q316:R316"/>
    <mergeCell ref="Q329:R329"/>
    <mergeCell ref="Q305:R305"/>
    <mergeCell ref="Q306:R306"/>
    <mergeCell ref="Q307:R307"/>
    <mergeCell ref="Q308:R308"/>
    <mergeCell ref="Q325:R325"/>
    <mergeCell ref="Q309:R309"/>
    <mergeCell ref="Q310:R310"/>
    <mergeCell ref="Q311:R311"/>
    <mergeCell ref="Q312:R312"/>
    <mergeCell ref="Q313:R313"/>
    <mergeCell ref="Q298:R298"/>
    <mergeCell ref="Q299:R299"/>
    <mergeCell ref="Q300:R300"/>
    <mergeCell ref="Q302:R302"/>
    <mergeCell ref="Q303:R303"/>
    <mergeCell ref="Q304:R304"/>
    <mergeCell ref="Q278:R278"/>
    <mergeCell ref="Q281:R281"/>
    <mergeCell ref="Q282:R282"/>
    <mergeCell ref="Q283:R283"/>
    <mergeCell ref="Q284:R284"/>
    <mergeCell ref="Q285:R285"/>
    <mergeCell ref="Q279:R279"/>
    <mergeCell ref="Q280:R280"/>
    <mergeCell ref="Q274:R274"/>
    <mergeCell ref="Q276:R276"/>
    <mergeCell ref="Q269:R269"/>
    <mergeCell ref="Q270:R270"/>
    <mergeCell ref="Q271:R271"/>
    <mergeCell ref="Q272:R272"/>
    <mergeCell ref="Q273:R273"/>
    <mergeCell ref="Q275:R275"/>
    <mergeCell ref="Q263:R263"/>
    <mergeCell ref="Q264:R264"/>
    <mergeCell ref="Q265:R265"/>
    <mergeCell ref="Q266:R266"/>
    <mergeCell ref="Q267:R267"/>
    <mergeCell ref="Q268:R268"/>
    <mergeCell ref="Q257:R257"/>
    <mergeCell ref="Q258:R258"/>
    <mergeCell ref="Q259:R259"/>
    <mergeCell ref="Q260:R260"/>
    <mergeCell ref="Q261:R261"/>
    <mergeCell ref="Q262:R262"/>
    <mergeCell ref="Q250:R250"/>
    <mergeCell ref="Q251:R251"/>
    <mergeCell ref="Q252:R252"/>
    <mergeCell ref="Q253:R253"/>
    <mergeCell ref="Q254:R254"/>
    <mergeCell ref="Q256:R256"/>
    <mergeCell ref="Q255:R255"/>
    <mergeCell ref="Q245:R245"/>
    <mergeCell ref="Q246:R246"/>
    <mergeCell ref="Q247:R247"/>
    <mergeCell ref="Q248:R248"/>
    <mergeCell ref="Q249:R249"/>
    <mergeCell ref="Q241:R241"/>
    <mergeCell ref="Q242:R242"/>
    <mergeCell ref="Q243:R243"/>
    <mergeCell ref="Q244:R244"/>
    <mergeCell ref="AH47:AI47"/>
    <mergeCell ref="AH48:AI48"/>
    <mergeCell ref="Q236:R236"/>
    <mergeCell ref="Q231:R231"/>
    <mergeCell ref="Q232:R232"/>
    <mergeCell ref="Q234:R234"/>
    <mergeCell ref="Q229:R229"/>
    <mergeCell ref="Q233:R233"/>
    <mergeCell ref="AH218:AI218"/>
    <mergeCell ref="Q204:R204"/>
    <mergeCell ref="Q237:R237"/>
    <mergeCell ref="Q238:R238"/>
    <mergeCell ref="Q239:R239"/>
    <mergeCell ref="Q240:R240"/>
    <mergeCell ref="AR46:AS46"/>
    <mergeCell ref="AR72:AS72"/>
    <mergeCell ref="AH49:AI49"/>
    <mergeCell ref="AH50:AI50"/>
    <mergeCell ref="AH52:AI52"/>
    <mergeCell ref="Q235:R235"/>
    <mergeCell ref="AH46:AI46"/>
    <mergeCell ref="AH51:AI51"/>
    <mergeCell ref="AH72:AI72"/>
    <mergeCell ref="Q222:R222"/>
    <mergeCell ref="Q223:R223"/>
    <mergeCell ref="Q224:R224"/>
    <mergeCell ref="Q213:R213"/>
    <mergeCell ref="Q214:R214"/>
    <mergeCell ref="AH215:AI215"/>
    <mergeCell ref="Q212:R212"/>
    <mergeCell ref="AR221:AS221"/>
    <mergeCell ref="BF221:BG221"/>
    <mergeCell ref="Q217:R217"/>
    <mergeCell ref="Q218:R218"/>
    <mergeCell ref="AR222:AS222"/>
    <mergeCell ref="AR223:AS223"/>
    <mergeCell ref="AH223:AI223"/>
    <mergeCell ref="BF222:BG222"/>
    <mergeCell ref="BF217:BG217"/>
    <mergeCell ref="BF218:BG218"/>
    <mergeCell ref="AH53:AI53"/>
    <mergeCell ref="AH54:AI54"/>
    <mergeCell ref="AH55:AI55"/>
    <mergeCell ref="AH56:AI56"/>
    <mergeCell ref="AH58:AI58"/>
    <mergeCell ref="AH57:AI57"/>
    <mergeCell ref="Q221:R221"/>
    <mergeCell ref="AH221:AI221"/>
    <mergeCell ref="AR219:AS219"/>
    <mergeCell ref="AR217:AS217"/>
    <mergeCell ref="AR218:AS218"/>
    <mergeCell ref="Q205:R205"/>
    <mergeCell ref="Q206:R206"/>
    <mergeCell ref="Q207:R207"/>
    <mergeCell ref="Q208:R208"/>
    <mergeCell ref="Q209:R209"/>
    <mergeCell ref="AH206:AI206"/>
    <mergeCell ref="AH207:AI207"/>
    <mergeCell ref="Q220:R220"/>
    <mergeCell ref="AH220:AI220"/>
    <mergeCell ref="AR220:AS220"/>
    <mergeCell ref="Q215:R215"/>
    <mergeCell ref="Q216:R216"/>
    <mergeCell ref="Q211:R211"/>
    <mergeCell ref="Q210:R210"/>
    <mergeCell ref="AH208:AI208"/>
    <mergeCell ref="Q196:R196"/>
    <mergeCell ref="Q197:R197"/>
    <mergeCell ref="Q198:R198"/>
    <mergeCell ref="Q199:R199"/>
    <mergeCell ref="Q219:R219"/>
    <mergeCell ref="AH219:AI219"/>
    <mergeCell ref="Q200:R200"/>
    <mergeCell ref="Q201:R201"/>
    <mergeCell ref="Q202:R202"/>
    <mergeCell ref="Q203:R203"/>
    <mergeCell ref="Q186:R186"/>
    <mergeCell ref="Q187:R187"/>
    <mergeCell ref="Q188:R188"/>
    <mergeCell ref="Q189:R189"/>
    <mergeCell ref="Q190:R190"/>
    <mergeCell ref="Q195:R195"/>
    <mergeCell ref="Q191:R191"/>
    <mergeCell ref="Q192:R192"/>
    <mergeCell ref="Q193:R193"/>
    <mergeCell ref="Q194:R194"/>
    <mergeCell ref="Q176:R176"/>
    <mergeCell ref="Q185:R185"/>
    <mergeCell ref="Q177:R177"/>
    <mergeCell ref="Q178:R178"/>
    <mergeCell ref="Q179:R179"/>
    <mergeCell ref="Q180:R180"/>
    <mergeCell ref="Q181:R181"/>
    <mergeCell ref="Q182:R182"/>
    <mergeCell ref="Q170:R170"/>
    <mergeCell ref="Q171:R171"/>
    <mergeCell ref="Q172:R172"/>
    <mergeCell ref="Q173:R173"/>
    <mergeCell ref="Q174:R174"/>
    <mergeCell ref="Q175:R175"/>
    <mergeCell ref="Q164:R164"/>
    <mergeCell ref="Q165:R165"/>
    <mergeCell ref="Q166:R166"/>
    <mergeCell ref="Q167:R167"/>
    <mergeCell ref="Q168:R168"/>
    <mergeCell ref="Q169:R169"/>
    <mergeCell ref="Q146:R146"/>
    <mergeCell ref="Q155:R155"/>
    <mergeCell ref="Q156:R156"/>
    <mergeCell ref="Q157:R157"/>
    <mergeCell ref="Q158:R158"/>
    <mergeCell ref="Q159:R159"/>
    <mergeCell ref="Q148:R148"/>
    <mergeCell ref="Q150:R150"/>
    <mergeCell ref="Q152:R152"/>
    <mergeCell ref="Q154:R154"/>
    <mergeCell ref="Q136:R136"/>
    <mergeCell ref="Q137:R137"/>
    <mergeCell ref="Q138:R138"/>
    <mergeCell ref="Q139:R139"/>
    <mergeCell ref="Q144:R144"/>
    <mergeCell ref="Q145:R145"/>
    <mergeCell ref="Q130:R130"/>
    <mergeCell ref="Q131:R131"/>
    <mergeCell ref="Q132:R132"/>
    <mergeCell ref="Q133:R133"/>
    <mergeCell ref="Q134:R134"/>
    <mergeCell ref="Q135:R135"/>
    <mergeCell ref="Q124:R124"/>
    <mergeCell ref="Q125:R125"/>
    <mergeCell ref="Q126:R126"/>
    <mergeCell ref="Q127:R127"/>
    <mergeCell ref="Q128:R128"/>
    <mergeCell ref="Q129:R129"/>
    <mergeCell ref="Q118:R118"/>
    <mergeCell ref="Q119:R119"/>
    <mergeCell ref="Q120:R120"/>
    <mergeCell ref="Q121:R121"/>
    <mergeCell ref="Q122:R122"/>
    <mergeCell ref="Q123:R123"/>
    <mergeCell ref="Q114:R114"/>
    <mergeCell ref="Q115:R115"/>
    <mergeCell ref="Q116:R116"/>
    <mergeCell ref="Q117:R117"/>
    <mergeCell ref="Q104:R104"/>
    <mergeCell ref="Q105:R105"/>
    <mergeCell ref="Q107:R107"/>
    <mergeCell ref="Q109:R109"/>
    <mergeCell ref="Q108:R108"/>
    <mergeCell ref="Q110:R110"/>
    <mergeCell ref="Q91:R91"/>
    <mergeCell ref="Q93:R93"/>
    <mergeCell ref="Q92:R92"/>
    <mergeCell ref="Q99:R99"/>
    <mergeCell ref="Q84:R84"/>
    <mergeCell ref="Q85:R85"/>
    <mergeCell ref="Q86:R86"/>
    <mergeCell ref="Q87:R87"/>
    <mergeCell ref="Q88:R88"/>
    <mergeCell ref="Q94:R94"/>
    <mergeCell ref="Q89:R89"/>
    <mergeCell ref="Q80:R80"/>
    <mergeCell ref="Q81:R81"/>
    <mergeCell ref="Q82:R82"/>
    <mergeCell ref="Q83:R83"/>
    <mergeCell ref="Q90:R90"/>
    <mergeCell ref="Q74:R74"/>
    <mergeCell ref="Q75:R75"/>
    <mergeCell ref="Q76:R76"/>
    <mergeCell ref="Q77:R77"/>
    <mergeCell ref="Q78:R78"/>
    <mergeCell ref="Q79:R79"/>
    <mergeCell ref="Q67:R67"/>
    <mergeCell ref="Q68:R68"/>
    <mergeCell ref="Q69:R69"/>
    <mergeCell ref="Q70:R70"/>
    <mergeCell ref="Q71:R71"/>
    <mergeCell ref="Q73:R73"/>
    <mergeCell ref="Q72:R72"/>
    <mergeCell ref="Q61:R61"/>
    <mergeCell ref="Q62:R62"/>
    <mergeCell ref="Q63:R63"/>
    <mergeCell ref="Q64:R64"/>
    <mergeCell ref="Q65:R65"/>
    <mergeCell ref="Q66:R66"/>
    <mergeCell ref="Q54:R54"/>
    <mergeCell ref="Q55:R55"/>
    <mergeCell ref="Q56:R56"/>
    <mergeCell ref="Q58:R58"/>
    <mergeCell ref="Q59:R59"/>
    <mergeCell ref="Q60:R60"/>
    <mergeCell ref="Q57:R57"/>
    <mergeCell ref="Q48:R48"/>
    <mergeCell ref="Q49:R49"/>
    <mergeCell ref="Q50:R50"/>
    <mergeCell ref="Q51:R51"/>
    <mergeCell ref="Q52:R52"/>
    <mergeCell ref="Q53:R53"/>
    <mergeCell ref="Q42:R42"/>
    <mergeCell ref="Q43:R43"/>
    <mergeCell ref="Q44:R44"/>
    <mergeCell ref="Q45:R45"/>
    <mergeCell ref="Q47:R47"/>
    <mergeCell ref="Q46:R46"/>
    <mergeCell ref="AM29:AN29"/>
    <mergeCell ref="AK26:AL26"/>
    <mergeCell ref="Z6:AF6"/>
    <mergeCell ref="Q41:R41"/>
    <mergeCell ref="Q40:R40"/>
    <mergeCell ref="AM26:AN26"/>
    <mergeCell ref="Q39:R39"/>
    <mergeCell ref="AH39:AI39"/>
    <mergeCell ref="A15:F15"/>
    <mergeCell ref="AK29:AL29"/>
    <mergeCell ref="AK27:AL27"/>
    <mergeCell ref="AK28:AL28"/>
    <mergeCell ref="Q35:R35"/>
    <mergeCell ref="Q37:R37"/>
    <mergeCell ref="I1:O1"/>
    <mergeCell ref="AX1:BD1"/>
    <mergeCell ref="AX4:BD4"/>
    <mergeCell ref="AX6:BD6"/>
    <mergeCell ref="I4:O4"/>
    <mergeCell ref="I6:O6"/>
    <mergeCell ref="Z1:AF1"/>
    <mergeCell ref="Z4:AF4"/>
    <mergeCell ref="AP15:AU15"/>
    <mergeCell ref="Q38:R38"/>
    <mergeCell ref="BN1:BT1"/>
    <mergeCell ref="BN4:BT4"/>
    <mergeCell ref="BN6:BT6"/>
    <mergeCell ref="AJ1:AP1"/>
    <mergeCell ref="AJ4:AP4"/>
    <mergeCell ref="AJ6:AP6"/>
    <mergeCell ref="AM27:AN27"/>
    <mergeCell ref="AM28:AN28"/>
    <mergeCell ref="AR148:AS148"/>
    <mergeCell ref="BF148:BG148"/>
    <mergeCell ref="Q149:R149"/>
    <mergeCell ref="AH149:AI149"/>
    <mergeCell ref="AR149:AS149"/>
    <mergeCell ref="BF149:BG149"/>
    <mergeCell ref="AR150:AS150"/>
    <mergeCell ref="BF150:BG150"/>
    <mergeCell ref="Q151:R151"/>
    <mergeCell ref="AH151:AI151"/>
    <mergeCell ref="AR151:AS151"/>
    <mergeCell ref="BF151:BG151"/>
    <mergeCell ref="AR152:AS152"/>
    <mergeCell ref="BF152:BG152"/>
    <mergeCell ref="Q153:R153"/>
    <mergeCell ref="AH153:AI153"/>
    <mergeCell ref="AR153:AS153"/>
    <mergeCell ref="BF153:BG153"/>
    <mergeCell ref="AR154:AS154"/>
    <mergeCell ref="BF154:BG154"/>
    <mergeCell ref="Q183:R183"/>
    <mergeCell ref="AH183:AI183"/>
    <mergeCell ref="AR183:AS183"/>
    <mergeCell ref="BF183:BG183"/>
    <mergeCell ref="Q160:R160"/>
    <mergeCell ref="Q161:R161"/>
    <mergeCell ref="Q162:R162"/>
    <mergeCell ref="Q163:R163"/>
    <mergeCell ref="Q289:R289"/>
    <mergeCell ref="Q286:R286"/>
    <mergeCell ref="Q287:R287"/>
    <mergeCell ref="Q288:R288"/>
    <mergeCell ref="Q292:R292"/>
    <mergeCell ref="AH292:AI292"/>
    <mergeCell ref="Q291:R291"/>
    <mergeCell ref="AH291:AI291"/>
    <mergeCell ref="Q293:R293"/>
    <mergeCell ref="Q294:R294"/>
    <mergeCell ref="Q295:R295"/>
    <mergeCell ref="Q296:R296"/>
    <mergeCell ref="Q297:R297"/>
    <mergeCell ref="AH355:AI355"/>
    <mergeCell ref="Q318:R318"/>
    <mergeCell ref="Q321:R321"/>
    <mergeCell ref="Q354:R354"/>
    <mergeCell ref="AH354:AI354"/>
    <mergeCell ref="BF355:BG355"/>
    <mergeCell ref="Q356:R356"/>
    <mergeCell ref="AH356:AI356"/>
    <mergeCell ref="AR356:AS356"/>
    <mergeCell ref="BF356:BG356"/>
    <mergeCell ref="Q355:R355"/>
    <mergeCell ref="BF354:BG354"/>
    <mergeCell ref="Q320:R320"/>
    <mergeCell ref="Q326:R326"/>
    <mergeCell ref="Q327:R327"/>
    <mergeCell ref="Q324:R324"/>
    <mergeCell ref="Q333:R333"/>
    <mergeCell ref="Q334:R334"/>
    <mergeCell ref="Q335:R335"/>
    <mergeCell ref="Q336:R336"/>
    <mergeCell ref="Q337:R33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T383"/>
  <sheetViews>
    <sheetView zoomScalePageLayoutView="0" workbookViewId="0" topLeftCell="A301">
      <selection activeCell="N308" sqref="N308"/>
    </sheetView>
  </sheetViews>
  <sheetFormatPr defaultColWidth="9.00390625" defaultRowHeight="12.75"/>
  <cols>
    <col min="1" max="1" width="1.875" style="0" customWidth="1"/>
    <col min="2" max="2" width="10.625" style="0" customWidth="1"/>
    <col min="3" max="3" width="57.00390625" style="0" customWidth="1"/>
    <col min="4" max="4" width="9.25390625" style="0" customWidth="1"/>
    <col min="5" max="5" width="6.875" style="0" customWidth="1"/>
    <col min="6" max="6" width="6.375" style="0" customWidth="1"/>
    <col min="7" max="7" width="9.625" style="0" customWidth="1"/>
    <col min="8" max="8" width="7.00390625" style="0" customWidth="1"/>
    <col min="9" max="9" width="6.25390625" style="0" customWidth="1"/>
    <col min="10" max="10" width="7.375" style="0" customWidth="1"/>
    <col min="11" max="11" width="6.25390625" style="0" customWidth="1"/>
    <col min="12" max="12" width="5.875" style="0" customWidth="1"/>
    <col min="13" max="13" width="5.375" style="0" customWidth="1"/>
    <col min="14" max="14" width="5.25390625" style="0" customWidth="1"/>
    <col min="15" max="15" width="5.375" style="0" customWidth="1"/>
    <col min="16" max="16" width="4.375" style="0" customWidth="1"/>
    <col min="17" max="17" width="8.625" style="0" customWidth="1"/>
  </cols>
  <sheetData>
    <row r="1" spans="1:3" ht="12.75">
      <c r="A1" s="195">
        <v>1</v>
      </c>
      <c r="C1" s="18"/>
    </row>
    <row r="3" spans="1:11" ht="12.75">
      <c r="A3" s="22"/>
      <c r="B3" s="23"/>
      <c r="C3" s="8"/>
      <c r="D3" s="151"/>
      <c r="E3" s="152"/>
      <c r="F3" s="153" t="s">
        <v>91</v>
      </c>
      <c r="G3" s="153"/>
      <c r="H3" s="19"/>
      <c r="I3" s="19"/>
      <c r="J3" s="19"/>
      <c r="K3" s="19"/>
    </row>
    <row r="4" spans="1:17" ht="9.75" customHeight="1">
      <c r="A4" s="22"/>
      <c r="B4" s="23"/>
      <c r="C4" s="8"/>
      <c r="D4" s="151"/>
      <c r="E4" s="10"/>
      <c r="F4" s="19"/>
      <c r="G4" s="19"/>
      <c r="H4" s="19"/>
      <c r="I4" s="19"/>
      <c r="J4" s="19"/>
      <c r="K4" s="19"/>
      <c r="O4" s="179"/>
      <c r="P4" s="176"/>
      <c r="Q4" s="176"/>
    </row>
    <row r="5" spans="1:17" ht="12.75" hidden="1">
      <c r="A5" s="22"/>
      <c r="B5" s="23"/>
      <c r="C5" s="8"/>
      <c r="D5" s="154"/>
      <c r="E5" s="155"/>
      <c r="F5" s="19"/>
      <c r="G5" s="19"/>
      <c r="H5" s="19"/>
      <c r="I5" s="19"/>
      <c r="J5" s="19"/>
      <c r="K5" s="19"/>
      <c r="O5" s="179"/>
      <c r="P5" s="176"/>
      <c r="Q5" s="176"/>
    </row>
    <row r="6" spans="1:17" ht="0.75" customHeight="1" hidden="1">
      <c r="A6" s="22"/>
      <c r="B6" s="23"/>
      <c r="C6" s="32"/>
      <c r="D6" s="19"/>
      <c r="E6" s="10"/>
      <c r="F6" s="19"/>
      <c r="G6" s="19"/>
      <c r="H6" s="19"/>
      <c r="I6" s="19"/>
      <c r="J6" s="19"/>
      <c r="K6" s="19"/>
      <c r="O6" s="179"/>
      <c r="P6" s="176"/>
      <c r="Q6" s="176"/>
    </row>
    <row r="7" spans="1:17" ht="12.75" hidden="1">
      <c r="A7" s="22"/>
      <c r="B7" s="23"/>
      <c r="C7" s="8"/>
      <c r="K7" s="19"/>
      <c r="O7" s="179"/>
      <c r="P7" s="176"/>
      <c r="Q7" s="176"/>
    </row>
    <row r="8" spans="1:17" ht="12.75">
      <c r="A8" s="22"/>
      <c r="B8" s="23"/>
      <c r="C8" s="8"/>
      <c r="D8" s="11"/>
      <c r="E8" s="10"/>
      <c r="F8" s="19"/>
      <c r="G8" s="19"/>
      <c r="H8" s="19"/>
      <c r="I8" s="19"/>
      <c r="J8" s="19"/>
      <c r="K8" s="19"/>
      <c r="O8" s="179"/>
      <c r="P8" s="176"/>
      <c r="Q8" s="176"/>
    </row>
    <row r="9" spans="1:17" ht="21" customHeight="1">
      <c r="A9" s="483" t="s">
        <v>31</v>
      </c>
      <c r="B9" s="484"/>
      <c r="C9" s="485" t="s">
        <v>92</v>
      </c>
      <c r="D9" s="468" t="s">
        <v>93</v>
      </c>
      <c r="E9" s="490" t="s">
        <v>125</v>
      </c>
      <c r="F9" s="490"/>
      <c r="G9" s="490"/>
      <c r="H9" s="490"/>
      <c r="I9" s="491"/>
      <c r="J9" s="468" t="s">
        <v>94</v>
      </c>
      <c r="K9" s="472" t="s">
        <v>726</v>
      </c>
      <c r="L9" s="473"/>
      <c r="M9" s="476" t="s">
        <v>727</v>
      </c>
      <c r="N9" s="477"/>
      <c r="O9" s="468" t="s">
        <v>95</v>
      </c>
      <c r="P9" s="471" t="s">
        <v>99</v>
      </c>
      <c r="Q9" s="471"/>
    </row>
    <row r="10" spans="1:17" ht="23.25" customHeight="1">
      <c r="A10" s="484"/>
      <c r="B10" s="484"/>
      <c r="C10" s="486"/>
      <c r="D10" s="488"/>
      <c r="E10" s="492" t="s">
        <v>96</v>
      </c>
      <c r="F10" s="493"/>
      <c r="G10" s="480" t="s">
        <v>833</v>
      </c>
      <c r="H10" s="481"/>
      <c r="I10" s="482"/>
      <c r="J10" s="469"/>
      <c r="K10" s="474"/>
      <c r="L10" s="475"/>
      <c r="M10" s="478"/>
      <c r="N10" s="479"/>
      <c r="O10" s="469"/>
      <c r="P10" s="471"/>
      <c r="Q10" s="471"/>
    </row>
    <row r="11" spans="1:17" ht="12.75" customHeight="1">
      <c r="A11" s="484"/>
      <c r="B11" s="484"/>
      <c r="C11" s="486"/>
      <c r="D11" s="488"/>
      <c r="E11" s="494" t="s">
        <v>97</v>
      </c>
      <c r="F11" s="468" t="s">
        <v>98</v>
      </c>
      <c r="G11" s="468" t="s">
        <v>728</v>
      </c>
      <c r="H11" s="468" t="s">
        <v>97</v>
      </c>
      <c r="I11" s="468" t="s">
        <v>98</v>
      </c>
      <c r="J11" s="469"/>
      <c r="K11" s="468" t="s">
        <v>97</v>
      </c>
      <c r="L11" s="468" t="s">
        <v>98</v>
      </c>
      <c r="M11" s="468" t="s">
        <v>97</v>
      </c>
      <c r="N11" s="468" t="s">
        <v>98</v>
      </c>
      <c r="O11" s="469"/>
      <c r="P11" s="471"/>
      <c r="Q11" s="471"/>
    </row>
    <row r="12" spans="1:17" ht="12.75">
      <c r="A12" s="484"/>
      <c r="B12" s="484"/>
      <c r="C12" s="486"/>
      <c r="D12" s="488"/>
      <c r="E12" s="495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71"/>
      <c r="Q12" s="471"/>
    </row>
    <row r="13" spans="1:17" ht="19.5" customHeight="1">
      <c r="A13" s="484"/>
      <c r="B13" s="484"/>
      <c r="C13" s="487"/>
      <c r="D13" s="489"/>
      <c r="E13" s="496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177" t="s">
        <v>97</v>
      </c>
      <c r="Q13" s="177" t="s">
        <v>98</v>
      </c>
    </row>
    <row r="14" spans="1:14" ht="12.75">
      <c r="A14" s="68"/>
      <c r="B14" s="69"/>
      <c r="C14" s="30"/>
      <c r="D14" s="156"/>
      <c r="E14" s="157"/>
      <c r="F14" s="158"/>
      <c r="G14" s="157"/>
      <c r="H14" s="78"/>
      <c r="I14" s="159"/>
      <c r="J14" s="160"/>
      <c r="K14" s="19"/>
      <c r="L14" s="161"/>
      <c r="N14" s="161"/>
    </row>
    <row r="15" spans="1:14" ht="12.75">
      <c r="A15" s="9"/>
      <c r="B15" s="27"/>
      <c r="C15" s="32"/>
      <c r="D15" s="156"/>
      <c r="E15" s="157"/>
      <c r="F15" s="162"/>
      <c r="G15" s="157"/>
      <c r="H15" s="78"/>
      <c r="I15" s="163"/>
      <c r="J15" s="164"/>
      <c r="K15" s="19"/>
      <c r="L15" s="165"/>
      <c r="N15" s="165"/>
    </row>
    <row r="16" spans="1:15" ht="12.75">
      <c r="A16" s="9"/>
      <c r="B16" s="233" t="s">
        <v>137</v>
      </c>
      <c r="C16" s="273" t="s">
        <v>138</v>
      </c>
      <c r="D16" s="156"/>
      <c r="E16" s="157"/>
      <c r="F16" s="162"/>
      <c r="G16" s="157"/>
      <c r="H16" s="78"/>
      <c r="I16" s="163"/>
      <c r="J16" s="164"/>
      <c r="K16" s="19"/>
      <c r="L16" s="165"/>
      <c r="N16" s="165"/>
      <c r="O16" s="5"/>
    </row>
    <row r="17" spans="1:15" ht="12.75">
      <c r="A17" s="24"/>
      <c r="B17" s="35"/>
      <c r="C17" s="77"/>
      <c r="D17" s="166"/>
      <c r="E17" s="167"/>
      <c r="F17" s="168"/>
      <c r="G17" s="167"/>
      <c r="H17" s="169"/>
      <c r="I17" s="170"/>
      <c r="J17" s="171"/>
      <c r="K17" s="169"/>
      <c r="L17" s="170"/>
      <c r="M17" s="172"/>
      <c r="N17" s="173"/>
      <c r="O17" s="174"/>
    </row>
    <row r="18" spans="1:15" ht="12.75">
      <c r="A18" s="24"/>
      <c r="B18" s="35"/>
      <c r="C18" s="75"/>
      <c r="D18" s="166"/>
      <c r="E18" s="167"/>
      <c r="F18" s="168"/>
      <c r="G18" s="167"/>
      <c r="H18" s="169"/>
      <c r="I18" s="170"/>
      <c r="J18" s="171"/>
      <c r="K18" s="169"/>
      <c r="L18" s="170"/>
      <c r="M18" s="172"/>
      <c r="N18" s="173"/>
      <c r="O18" s="174"/>
    </row>
    <row r="19" spans="1:15" ht="12.75">
      <c r="A19" s="24"/>
      <c r="B19" s="35"/>
      <c r="C19" s="75"/>
      <c r="D19" s="166"/>
      <c r="E19" s="167"/>
      <c r="F19" s="168"/>
      <c r="G19" s="167"/>
      <c r="H19" s="169"/>
      <c r="I19" s="170"/>
      <c r="J19" s="171"/>
      <c r="K19" s="169"/>
      <c r="L19" s="170"/>
      <c r="M19" s="172"/>
      <c r="N19" s="173"/>
      <c r="O19" s="174"/>
    </row>
    <row r="20" spans="1:15" ht="12.75">
      <c r="A20" s="24"/>
      <c r="B20" s="35"/>
      <c r="C20" s="28"/>
      <c r="D20" s="166"/>
      <c r="E20" s="167"/>
      <c r="F20" s="168"/>
      <c r="G20" s="167"/>
      <c r="H20" s="169"/>
      <c r="I20" s="170"/>
      <c r="J20" s="171"/>
      <c r="K20" s="169"/>
      <c r="L20" s="170"/>
      <c r="M20" s="172"/>
      <c r="N20" s="173"/>
      <c r="O20" s="174"/>
    </row>
    <row r="21" spans="1:15" ht="12.75">
      <c r="A21" s="24"/>
      <c r="B21" s="35"/>
      <c r="C21" s="75" t="s">
        <v>40</v>
      </c>
      <c r="D21" s="175"/>
      <c r="E21" s="167"/>
      <c r="F21" s="168"/>
      <c r="G21" s="167"/>
      <c r="H21" s="172"/>
      <c r="I21" s="168"/>
      <c r="J21" s="171"/>
      <c r="K21" s="172"/>
      <c r="L21" s="168"/>
      <c r="M21" s="172"/>
      <c r="N21" s="168"/>
      <c r="O21" s="174"/>
    </row>
    <row r="22" spans="1:19" ht="27.75" customHeight="1">
      <c r="A22" s="84"/>
      <c r="B22" s="235" t="s">
        <v>139</v>
      </c>
      <c r="C22" s="236" t="s">
        <v>140</v>
      </c>
      <c r="D22" s="231" t="s">
        <v>704</v>
      </c>
      <c r="E22" s="208">
        <f>калькуляция!AE37</f>
        <v>6.26</v>
      </c>
      <c r="F22" s="209">
        <f>калькуляция!BS37</f>
        <v>0</v>
      </c>
      <c r="G22" s="208" t="s">
        <v>734</v>
      </c>
      <c r="H22" s="312">
        <v>8.76</v>
      </c>
      <c r="I22" s="211">
        <v>0</v>
      </c>
      <c r="J22" s="171">
        <f aca="true" t="shared" si="0" ref="J22:J29">E22/H22*100-100</f>
        <v>-28.538812785388117</v>
      </c>
      <c r="K22" s="210">
        <f aca="true" t="shared" si="1" ref="K22:K29">ROUND(H22*$A$1,2)</f>
        <v>8.76</v>
      </c>
      <c r="L22" s="210">
        <f>ROUND(I22*$A$1,2)</f>
        <v>0</v>
      </c>
      <c r="M22" s="210">
        <f aca="true" t="shared" si="2" ref="M22:M29">MIN(E22,K22)</f>
        <v>6.26</v>
      </c>
      <c r="N22" s="209">
        <f aca="true" t="shared" si="3" ref="N22:N29">MIN(F22,L22)</f>
        <v>0</v>
      </c>
      <c r="O22" s="174">
        <f aca="true" t="shared" si="4" ref="O22:O29">M22/H22*100-100</f>
        <v>-28.538812785388117</v>
      </c>
      <c r="P22" s="178">
        <f aca="true" t="shared" si="5" ref="P22:P29">ROUND(M22/E22*100,1)</f>
        <v>100</v>
      </c>
      <c r="Q22" s="178" t="e">
        <f aca="true" t="shared" si="6" ref="Q22:Q29">ROUND(N22/F22*100,1)</f>
        <v>#DIV/0!</v>
      </c>
      <c r="R22" t="s">
        <v>734</v>
      </c>
      <c r="S22">
        <v>6.71</v>
      </c>
    </row>
    <row r="23" spans="1:17" ht="39" customHeight="1">
      <c r="A23" s="84"/>
      <c r="B23" s="235" t="s">
        <v>141</v>
      </c>
      <c r="C23" s="279" t="s">
        <v>142</v>
      </c>
      <c r="D23" s="231" t="s">
        <v>705</v>
      </c>
      <c r="E23" s="208">
        <f>калькуляция!AE38</f>
        <v>15.95</v>
      </c>
      <c r="F23" s="209">
        <f>калькуляция!BS38</f>
        <v>1.5900000000000003</v>
      </c>
      <c r="G23" s="208" t="s">
        <v>734</v>
      </c>
      <c r="H23" s="312">
        <v>8.76</v>
      </c>
      <c r="I23" s="211">
        <v>0</v>
      </c>
      <c r="J23" s="171">
        <f t="shared" si="0"/>
        <v>82.07762557077623</v>
      </c>
      <c r="K23" s="210">
        <f t="shared" si="1"/>
        <v>8.76</v>
      </c>
      <c r="L23" s="210">
        <f>F23</f>
        <v>1.5900000000000003</v>
      </c>
      <c r="M23" s="210">
        <f t="shared" si="2"/>
        <v>8.76</v>
      </c>
      <c r="N23" s="209">
        <f t="shared" si="3"/>
        <v>1.5900000000000003</v>
      </c>
      <c r="O23" s="174">
        <f t="shared" si="4"/>
        <v>0</v>
      </c>
      <c r="P23" s="178">
        <f t="shared" si="5"/>
        <v>54.9</v>
      </c>
      <c r="Q23" s="178">
        <f t="shared" si="6"/>
        <v>100</v>
      </c>
    </row>
    <row r="24" spans="1:17" ht="39" customHeight="1">
      <c r="A24" s="84"/>
      <c r="B24" s="235" t="str">
        <f>калькуляция!B39</f>
        <v>1.3.</v>
      </c>
      <c r="C24" s="355" t="str">
        <f>калькуляция!C39</f>
        <v>выдача заключения о целесообразности проведения лабораторных исследований</v>
      </c>
      <c r="D24" s="231" t="s">
        <v>1010</v>
      </c>
      <c r="E24" s="208">
        <f>калькуляция!AE39</f>
        <v>23.91</v>
      </c>
      <c r="F24" s="209">
        <f>калькуляция!BS39</f>
        <v>2.41</v>
      </c>
      <c r="G24" s="208" t="s">
        <v>734</v>
      </c>
      <c r="H24" s="312">
        <v>8.76</v>
      </c>
      <c r="I24" s="211">
        <v>0</v>
      </c>
      <c r="J24" s="171">
        <f>E24/H24*100-100</f>
        <v>172.94520547945206</v>
      </c>
      <c r="K24" s="210">
        <f>ROUND(H24*$A$1,2)</f>
        <v>8.76</v>
      </c>
      <c r="L24" s="210">
        <f>F24</f>
        <v>2.41</v>
      </c>
      <c r="M24" s="210">
        <f>MIN(E24,K24)</f>
        <v>8.76</v>
      </c>
      <c r="N24" s="209">
        <f>MIN(F24,L24)</f>
        <v>2.41</v>
      </c>
      <c r="O24" s="174">
        <f>M24/H24*100-100</f>
        <v>0</v>
      </c>
      <c r="P24" s="178">
        <f>ROUND(M24/E24*100,1)</f>
        <v>36.6</v>
      </c>
      <c r="Q24" s="178">
        <f>ROUND(N24/F24*100,1)</f>
        <v>100</v>
      </c>
    </row>
    <row r="25" spans="1:19" ht="29.25" customHeight="1">
      <c r="A25" s="24"/>
      <c r="B25" s="235" t="s">
        <v>143</v>
      </c>
      <c r="C25" s="279" t="s">
        <v>144</v>
      </c>
      <c r="D25" s="231" t="s">
        <v>706</v>
      </c>
      <c r="E25" s="208">
        <f>калькуляция!AE40</f>
        <v>16.66</v>
      </c>
      <c r="F25" s="209">
        <f>калькуляция!BS40</f>
        <v>1.67</v>
      </c>
      <c r="G25" s="208" t="s">
        <v>735</v>
      </c>
      <c r="H25" s="211">
        <v>13.23</v>
      </c>
      <c r="I25" s="312"/>
      <c r="J25" s="171">
        <f t="shared" si="0"/>
        <v>25.925925925925924</v>
      </c>
      <c r="K25" s="210">
        <f t="shared" si="1"/>
        <v>13.23</v>
      </c>
      <c r="L25" s="210">
        <f>F25</f>
        <v>1.67</v>
      </c>
      <c r="M25" s="210">
        <f t="shared" si="2"/>
        <v>13.23</v>
      </c>
      <c r="N25" s="209">
        <f t="shared" si="3"/>
        <v>1.67</v>
      </c>
      <c r="O25" s="174">
        <f t="shared" si="4"/>
        <v>0</v>
      </c>
      <c r="P25" s="178">
        <f t="shared" si="5"/>
        <v>79.4</v>
      </c>
      <c r="Q25" s="178">
        <f t="shared" si="6"/>
        <v>100</v>
      </c>
      <c r="R25" t="s">
        <v>735</v>
      </c>
      <c r="S25">
        <v>10.15</v>
      </c>
    </row>
    <row r="26" spans="1:19" ht="25.5">
      <c r="A26" s="24"/>
      <c r="B26" s="235" t="s">
        <v>145</v>
      </c>
      <c r="C26" s="279" t="s">
        <v>146</v>
      </c>
      <c r="D26" s="231" t="s">
        <v>707</v>
      </c>
      <c r="E26" s="208">
        <f>калькуляция!AE41</f>
        <v>15.41</v>
      </c>
      <c r="F26" s="209">
        <f>калькуляция!BS41</f>
        <v>1.5600000000000003</v>
      </c>
      <c r="G26" s="208" t="s">
        <v>732</v>
      </c>
      <c r="H26" s="211">
        <v>5.43</v>
      </c>
      <c r="I26" s="211">
        <v>0</v>
      </c>
      <c r="J26" s="171">
        <f t="shared" si="0"/>
        <v>183.7937384898711</v>
      </c>
      <c r="K26" s="210">
        <f t="shared" si="1"/>
        <v>5.43</v>
      </c>
      <c r="L26" s="210">
        <f>F26</f>
        <v>1.5600000000000003</v>
      </c>
      <c r="M26" s="210">
        <f t="shared" si="2"/>
        <v>5.43</v>
      </c>
      <c r="N26" s="209">
        <f t="shared" si="3"/>
        <v>1.5600000000000003</v>
      </c>
      <c r="O26" s="174">
        <f t="shared" si="4"/>
        <v>0</v>
      </c>
      <c r="P26" s="178">
        <f t="shared" si="5"/>
        <v>35.2</v>
      </c>
      <c r="Q26" s="178">
        <f t="shared" si="6"/>
        <v>100</v>
      </c>
      <c r="R26" t="s">
        <v>736</v>
      </c>
      <c r="S26">
        <v>1.36</v>
      </c>
    </row>
    <row r="27" spans="1:19" ht="25.5">
      <c r="A27" s="24"/>
      <c r="B27" s="235" t="s">
        <v>147</v>
      </c>
      <c r="C27" s="279" t="s">
        <v>148</v>
      </c>
      <c r="D27" s="231" t="s">
        <v>708</v>
      </c>
      <c r="E27" s="208">
        <f>калькуляция!AE42</f>
        <v>21.709999999999997</v>
      </c>
      <c r="F27" s="209">
        <f>калькуляция!BS42</f>
        <v>2.1799999999999997</v>
      </c>
      <c r="G27" s="208" t="s">
        <v>733</v>
      </c>
      <c r="H27" s="211">
        <v>10.96</v>
      </c>
      <c r="I27" s="211">
        <v>0</v>
      </c>
      <c r="J27" s="171">
        <f t="shared" si="0"/>
        <v>98.08394160583939</v>
      </c>
      <c r="K27" s="210">
        <f t="shared" si="1"/>
        <v>10.96</v>
      </c>
      <c r="L27" s="210">
        <f>F27</f>
        <v>2.1799999999999997</v>
      </c>
      <c r="M27" s="210">
        <f t="shared" si="2"/>
        <v>10.96</v>
      </c>
      <c r="N27" s="209">
        <f t="shared" si="3"/>
        <v>2.1799999999999997</v>
      </c>
      <c r="O27" s="174">
        <f t="shared" si="4"/>
        <v>0</v>
      </c>
      <c r="P27" s="178">
        <f t="shared" si="5"/>
        <v>50.5</v>
      </c>
      <c r="Q27" s="178">
        <f t="shared" si="6"/>
        <v>100</v>
      </c>
      <c r="R27" t="s">
        <v>737</v>
      </c>
      <c r="S27">
        <v>1.1</v>
      </c>
    </row>
    <row r="28" spans="1:19" ht="68.25" customHeight="1">
      <c r="A28" s="24"/>
      <c r="B28" s="235" t="s">
        <v>149</v>
      </c>
      <c r="C28" s="279" t="s">
        <v>150</v>
      </c>
      <c r="D28" s="231" t="s">
        <v>709</v>
      </c>
      <c r="E28" s="208">
        <f>калькуляция!AE43</f>
        <v>3.14</v>
      </c>
      <c r="F28" s="209">
        <f>калькуляция!BS43</f>
        <v>0.32000000000000006</v>
      </c>
      <c r="G28" s="208" t="s">
        <v>738</v>
      </c>
      <c r="H28" s="312">
        <v>0.19</v>
      </c>
      <c r="I28" s="312">
        <v>0.19</v>
      </c>
      <c r="J28" s="319">
        <f t="shared" si="0"/>
        <v>1552.6315789473686</v>
      </c>
      <c r="K28" s="210">
        <f t="shared" si="1"/>
        <v>0.19</v>
      </c>
      <c r="L28" s="210">
        <v>0.19</v>
      </c>
      <c r="M28" s="210">
        <f>MIN(E28,K28)</f>
        <v>0.19</v>
      </c>
      <c r="N28" s="209">
        <f>MIN(F28,L28)</f>
        <v>0.19</v>
      </c>
      <c r="O28" s="174">
        <f t="shared" si="4"/>
        <v>0</v>
      </c>
      <c r="P28" s="178">
        <f t="shared" si="5"/>
        <v>6.1</v>
      </c>
      <c r="Q28" s="178">
        <f t="shared" si="6"/>
        <v>59.4</v>
      </c>
      <c r="R28" t="s">
        <v>738</v>
      </c>
      <c r="S28">
        <v>0.14</v>
      </c>
    </row>
    <row r="29" spans="1:17" ht="48.75" customHeight="1">
      <c r="A29" s="84"/>
      <c r="B29" s="315" t="s">
        <v>153</v>
      </c>
      <c r="C29" s="316" t="s">
        <v>154</v>
      </c>
      <c r="D29" s="313" t="s">
        <v>710</v>
      </c>
      <c r="E29" s="317">
        <f>калькуляция!AE44</f>
        <v>17.96</v>
      </c>
      <c r="F29" s="318">
        <f>калькуляция!BS44</f>
        <v>0</v>
      </c>
      <c r="G29" s="317" t="s">
        <v>823</v>
      </c>
      <c r="H29" s="312">
        <v>8.1</v>
      </c>
      <c r="I29" s="312"/>
      <c r="J29" s="171">
        <f t="shared" si="0"/>
        <v>121.7283950617284</v>
      </c>
      <c r="K29" s="210">
        <f t="shared" si="1"/>
        <v>8.1</v>
      </c>
      <c r="L29" s="210">
        <f>ROUND(I29*$A$1,2)</f>
        <v>0</v>
      </c>
      <c r="M29" s="210">
        <f t="shared" si="2"/>
        <v>8.1</v>
      </c>
      <c r="N29" s="209">
        <f t="shared" si="3"/>
        <v>0</v>
      </c>
      <c r="O29" s="174">
        <f t="shared" si="4"/>
        <v>0</v>
      </c>
      <c r="P29" s="178">
        <f t="shared" si="5"/>
        <v>45.1</v>
      </c>
      <c r="Q29" s="178" t="e">
        <f t="shared" si="6"/>
        <v>#DIV/0!</v>
      </c>
    </row>
    <row r="30" spans="1:17" ht="39" customHeight="1">
      <c r="A30" s="84"/>
      <c r="B30" s="315" t="s">
        <v>155</v>
      </c>
      <c r="C30" s="316" t="s">
        <v>156</v>
      </c>
      <c r="D30" s="313" t="s">
        <v>710</v>
      </c>
      <c r="E30" s="317">
        <f>калькуляция!AE45</f>
        <v>17.96</v>
      </c>
      <c r="F30" s="318">
        <f>калькуляция!BS45</f>
        <v>0</v>
      </c>
      <c r="G30" s="317" t="s">
        <v>823</v>
      </c>
      <c r="H30" s="312">
        <v>8.1</v>
      </c>
      <c r="I30" s="312"/>
      <c r="J30" s="171">
        <f>E30/H30*100-100</f>
        <v>121.7283950617284</v>
      </c>
      <c r="K30" s="210">
        <f>ROUND(H30*$A$1,2)</f>
        <v>8.1</v>
      </c>
      <c r="L30" s="210">
        <f>ROUND(I30*$A$1,2)</f>
        <v>0</v>
      </c>
      <c r="M30" s="210">
        <f>MIN(E30,K30)</f>
        <v>8.1</v>
      </c>
      <c r="N30" s="209">
        <f>MIN(F30,L30)</f>
        <v>0</v>
      </c>
      <c r="O30" s="174">
        <f>M30/H30*100-100</f>
        <v>0</v>
      </c>
      <c r="P30" s="178">
        <f>ROUND(M30/E30*100,1)</f>
        <v>45.1</v>
      </c>
      <c r="Q30" s="178" t="e">
        <f>ROUND(N30/F30*100,1)</f>
        <v>#DIV/0!</v>
      </c>
    </row>
    <row r="31" spans="1:17" ht="39" customHeight="1">
      <c r="A31" s="84"/>
      <c r="B31" s="315" t="str">
        <f>калькуляция!B46</f>
        <v>1.11.1.</v>
      </c>
      <c r="C31" s="316" t="str">
        <f>калькуляция!C46</f>
        <v>гигиеническое заключение по результатам лабораторных испытаний, измерений</v>
      </c>
      <c r="D31" s="313" t="s">
        <v>1010</v>
      </c>
      <c r="E31" s="317">
        <f>калькуляция!AE46</f>
        <v>11.950000000000001</v>
      </c>
      <c r="F31" s="318">
        <f>калькуляция!BS46</f>
        <v>0</v>
      </c>
      <c r="G31" s="317" t="s">
        <v>730</v>
      </c>
      <c r="H31" s="312">
        <v>10.85</v>
      </c>
      <c r="I31" s="312"/>
      <c r="J31" s="171">
        <f>E31/H31*100-100</f>
        <v>10.138248847926292</v>
      </c>
      <c r="K31" s="210">
        <f>ROUND(H31*$A$1,2)</f>
        <v>10.85</v>
      </c>
      <c r="L31" s="210">
        <f>ROUND(I31*$A$1,2)</f>
        <v>0</v>
      </c>
      <c r="M31" s="210">
        <f>MIN(E31,K31)</f>
        <v>10.85</v>
      </c>
      <c r="N31" s="209">
        <f>MIN(F31,L31)</f>
        <v>0</v>
      </c>
      <c r="O31" s="174">
        <f>M31/H31*100-100</f>
        <v>0</v>
      </c>
      <c r="P31" s="178">
        <f>ROUND(M31/E31*100,1)</f>
        <v>90.8</v>
      </c>
      <c r="Q31" s="178" t="e">
        <f>ROUND(N31/F31*100,1)</f>
        <v>#DIV/0!</v>
      </c>
    </row>
    <row r="32" spans="1:17" ht="14.25" customHeight="1">
      <c r="A32" s="84"/>
      <c r="B32" s="233" t="s">
        <v>157</v>
      </c>
      <c r="C32" s="276" t="s">
        <v>158</v>
      </c>
      <c r="D32" s="281"/>
      <c r="E32" s="208"/>
      <c r="F32" s="209"/>
      <c r="G32" s="208"/>
      <c r="H32" s="211"/>
      <c r="I32" s="211"/>
      <c r="J32" s="171"/>
      <c r="K32" s="210"/>
      <c r="L32" s="210"/>
      <c r="M32" s="210"/>
      <c r="N32" s="209"/>
      <c r="O32" s="174"/>
      <c r="P32" s="178"/>
      <c r="Q32" s="178"/>
    </row>
    <row r="33" spans="1:17" ht="41.25" customHeight="1">
      <c r="A33" s="84"/>
      <c r="B33" s="235" t="s">
        <v>159</v>
      </c>
      <c r="C33" s="279" t="s">
        <v>160</v>
      </c>
      <c r="D33" s="231" t="s">
        <v>710</v>
      </c>
      <c r="E33" s="208">
        <f>калькуляция!AE48</f>
        <v>35.85</v>
      </c>
      <c r="F33" s="209">
        <f>калькуляция!BS48</f>
        <v>0</v>
      </c>
      <c r="G33" s="208" t="s">
        <v>826</v>
      </c>
      <c r="H33" s="211">
        <v>8.63</v>
      </c>
      <c r="I33" s="211"/>
      <c r="J33" s="171">
        <f aca="true" t="shared" si="7" ref="J33:J38">E33/H33*100-100</f>
        <v>315.4113557358053</v>
      </c>
      <c r="K33" s="210">
        <f>ROUND(H33*$A$1,2)</f>
        <v>8.63</v>
      </c>
      <c r="L33" s="210">
        <f>ROUND(I33*$A$1,2)</f>
        <v>0</v>
      </c>
      <c r="M33" s="210">
        <f aca="true" t="shared" si="8" ref="M33:M38">MIN(E33,K33)</f>
        <v>8.63</v>
      </c>
      <c r="N33" s="209">
        <f aca="true" t="shared" si="9" ref="N33:N38">MIN(F33,L33)</f>
        <v>0</v>
      </c>
      <c r="O33" s="174">
        <f aca="true" t="shared" si="10" ref="O33:O38">M33/H33*100-100</f>
        <v>0</v>
      </c>
      <c r="P33" s="178">
        <f aca="true" t="shared" si="11" ref="P33:P38">ROUND(M33/E33*100,1)</f>
        <v>24.1</v>
      </c>
      <c r="Q33" s="178" t="e">
        <f aca="true" t="shared" si="12" ref="Q33:Q38">ROUND(N33/F33*100,1)</f>
        <v>#DIV/0!</v>
      </c>
    </row>
    <row r="34" spans="1:17" ht="25.5">
      <c r="A34" s="84"/>
      <c r="B34" s="235" t="s">
        <v>161</v>
      </c>
      <c r="C34" s="279" t="s">
        <v>162</v>
      </c>
      <c r="D34" s="231" t="s">
        <v>710</v>
      </c>
      <c r="E34" s="208">
        <f>калькуляция!AE49</f>
        <v>23.91</v>
      </c>
      <c r="F34" s="209">
        <f>калькуляция!BS49</f>
        <v>0</v>
      </c>
      <c r="G34" s="208"/>
      <c r="H34" s="211"/>
      <c r="I34" s="211"/>
      <c r="J34" s="171" t="e">
        <f t="shared" si="7"/>
        <v>#DIV/0!</v>
      </c>
      <c r="K34" s="326">
        <f aca="true" t="shared" si="13" ref="K34:L38">E34</f>
        <v>23.91</v>
      </c>
      <c r="L34" s="326">
        <f t="shared" si="13"/>
        <v>0</v>
      </c>
      <c r="M34" s="210">
        <f t="shared" si="8"/>
        <v>23.91</v>
      </c>
      <c r="N34" s="209">
        <f t="shared" si="9"/>
        <v>0</v>
      </c>
      <c r="O34" s="174" t="e">
        <f t="shared" si="10"/>
        <v>#DIV/0!</v>
      </c>
      <c r="P34" s="178">
        <f t="shared" si="11"/>
        <v>100</v>
      </c>
      <c r="Q34" s="178" t="e">
        <f t="shared" si="12"/>
        <v>#DIV/0!</v>
      </c>
    </row>
    <row r="35" spans="1:17" ht="30" customHeight="1">
      <c r="A35" s="84"/>
      <c r="B35" s="235" t="s">
        <v>163</v>
      </c>
      <c r="C35" s="279" t="s">
        <v>164</v>
      </c>
      <c r="D35" s="231" t="s">
        <v>710</v>
      </c>
      <c r="E35" s="208">
        <f>калькуляция!AE50</f>
        <v>11.950000000000001</v>
      </c>
      <c r="F35" s="209">
        <f>калькуляция!BS50</f>
        <v>0</v>
      </c>
      <c r="G35" s="208"/>
      <c r="H35" s="211"/>
      <c r="I35" s="211"/>
      <c r="J35" s="171" t="e">
        <f t="shared" si="7"/>
        <v>#DIV/0!</v>
      </c>
      <c r="K35" s="326">
        <f t="shared" si="13"/>
        <v>11.950000000000001</v>
      </c>
      <c r="L35" s="326">
        <f t="shared" si="13"/>
        <v>0</v>
      </c>
      <c r="M35" s="210">
        <f t="shared" si="8"/>
        <v>11.950000000000001</v>
      </c>
      <c r="N35" s="209">
        <f t="shared" si="9"/>
        <v>0</v>
      </c>
      <c r="O35" s="174" t="e">
        <f t="shared" si="10"/>
        <v>#DIV/0!</v>
      </c>
      <c r="P35" s="178">
        <f t="shared" si="11"/>
        <v>100</v>
      </c>
      <c r="Q35" s="178" t="e">
        <f t="shared" si="12"/>
        <v>#DIV/0!</v>
      </c>
    </row>
    <row r="36" spans="1:17" ht="78" customHeight="1">
      <c r="A36" s="84"/>
      <c r="B36" s="235" t="str">
        <f>калькуляция!B51</f>
        <v>1.12.6.</v>
      </c>
      <c r="C36" s="235" t="str">
        <f>калькуляция!C51</f>
        <v>в определении соответствия требованиям законодательства в области санитарно-эпидемиологического благополучия населения продукции (за исключением продукции, подлежащей государственной регистрации)</v>
      </c>
      <c r="D36" s="231" t="s">
        <v>710</v>
      </c>
      <c r="E36" s="208">
        <f>калькуляция!AE51</f>
        <v>4</v>
      </c>
      <c r="F36" s="209">
        <f>калькуляция!BS51</f>
        <v>0</v>
      </c>
      <c r="G36" s="208"/>
      <c r="H36" s="211"/>
      <c r="I36" s="211"/>
      <c r="J36" s="171" t="e">
        <f t="shared" si="7"/>
        <v>#DIV/0!</v>
      </c>
      <c r="K36" s="326">
        <f t="shared" si="13"/>
        <v>4</v>
      </c>
      <c r="L36" s="326">
        <f t="shared" si="13"/>
        <v>0</v>
      </c>
      <c r="M36" s="210">
        <f t="shared" si="8"/>
        <v>4</v>
      </c>
      <c r="N36" s="209">
        <f t="shared" si="9"/>
        <v>0</v>
      </c>
      <c r="O36" s="174" t="e">
        <f t="shared" si="10"/>
        <v>#DIV/0!</v>
      </c>
      <c r="P36" s="178">
        <f t="shared" si="11"/>
        <v>100</v>
      </c>
      <c r="Q36" s="178" t="e">
        <f t="shared" si="12"/>
        <v>#DIV/0!</v>
      </c>
    </row>
    <row r="37" spans="1:17" ht="44.25" customHeight="1">
      <c r="A37" s="84"/>
      <c r="B37" s="235" t="s">
        <v>167</v>
      </c>
      <c r="C37" s="279" t="s">
        <v>168</v>
      </c>
      <c r="D37" s="231" t="s">
        <v>710</v>
      </c>
      <c r="E37" s="208">
        <f>калькуляция!AE52</f>
        <v>11.950000000000001</v>
      </c>
      <c r="F37" s="209">
        <f>калькуляция!BS52</f>
        <v>0</v>
      </c>
      <c r="G37" s="208"/>
      <c r="H37" s="211"/>
      <c r="I37" s="211"/>
      <c r="J37" s="171" t="e">
        <f t="shared" si="7"/>
        <v>#DIV/0!</v>
      </c>
      <c r="K37" s="326">
        <f t="shared" si="13"/>
        <v>11.950000000000001</v>
      </c>
      <c r="L37" s="326">
        <f t="shared" si="13"/>
        <v>0</v>
      </c>
      <c r="M37" s="210">
        <f t="shared" si="8"/>
        <v>11.950000000000001</v>
      </c>
      <c r="N37" s="209">
        <f t="shared" si="9"/>
        <v>0</v>
      </c>
      <c r="O37" s="174" t="e">
        <f t="shared" si="10"/>
        <v>#DIV/0!</v>
      </c>
      <c r="P37" s="178">
        <f t="shared" si="11"/>
        <v>100</v>
      </c>
      <c r="Q37" s="178" t="e">
        <f t="shared" si="12"/>
        <v>#DIV/0!</v>
      </c>
    </row>
    <row r="38" spans="1:17" ht="42" customHeight="1">
      <c r="A38" s="84"/>
      <c r="B38" s="235" t="s">
        <v>169</v>
      </c>
      <c r="C38" s="279" t="s">
        <v>170</v>
      </c>
      <c r="D38" s="231" t="s">
        <v>710</v>
      </c>
      <c r="E38" s="208">
        <f>калькуляция!AE53</f>
        <v>6.010000000000001</v>
      </c>
      <c r="F38" s="209">
        <f>калькуляция!BS53</f>
        <v>2.01</v>
      </c>
      <c r="G38" s="208"/>
      <c r="H38" s="211"/>
      <c r="I38" s="211"/>
      <c r="J38" s="171" t="e">
        <f t="shared" si="7"/>
        <v>#DIV/0!</v>
      </c>
      <c r="K38" s="326">
        <f t="shared" si="13"/>
        <v>6.010000000000001</v>
      </c>
      <c r="L38" s="326">
        <f t="shared" si="13"/>
        <v>2.01</v>
      </c>
      <c r="M38" s="210">
        <f t="shared" si="8"/>
        <v>6.010000000000001</v>
      </c>
      <c r="N38" s="209">
        <f t="shared" si="9"/>
        <v>2.01</v>
      </c>
      <c r="O38" s="174" t="e">
        <f t="shared" si="10"/>
        <v>#DIV/0!</v>
      </c>
      <c r="P38" s="178">
        <f t="shared" si="11"/>
        <v>100</v>
      </c>
      <c r="Q38" s="178">
        <f t="shared" si="12"/>
        <v>100</v>
      </c>
    </row>
    <row r="39" spans="1:17" ht="39" customHeight="1">
      <c r="A39" s="84"/>
      <c r="B39" s="233" t="s">
        <v>171</v>
      </c>
      <c r="C39" s="276" t="s">
        <v>172</v>
      </c>
      <c r="D39" s="281"/>
      <c r="E39" s="208"/>
      <c r="F39" s="209"/>
      <c r="G39" s="208"/>
      <c r="H39" s="211"/>
      <c r="I39" s="211"/>
      <c r="J39" s="171"/>
      <c r="K39" s="210"/>
      <c r="L39" s="210"/>
      <c r="M39" s="210"/>
      <c r="N39" s="209"/>
      <c r="O39" s="174"/>
      <c r="P39" s="178"/>
      <c r="Q39" s="178"/>
    </row>
    <row r="40" spans="1:17" ht="12.75">
      <c r="A40" s="84"/>
      <c r="B40" s="315" t="s">
        <v>173</v>
      </c>
      <c r="C40" s="316" t="s">
        <v>174</v>
      </c>
      <c r="D40" s="313" t="s">
        <v>711</v>
      </c>
      <c r="E40" s="317">
        <f>калькуляция!AE55</f>
        <v>11.950000000000001</v>
      </c>
      <c r="F40" s="318">
        <f>калькуляция!BS55</f>
        <v>0</v>
      </c>
      <c r="G40" s="369" t="s">
        <v>926</v>
      </c>
      <c r="H40" s="312">
        <v>28.62</v>
      </c>
      <c r="I40" s="312"/>
      <c r="J40" s="171">
        <f>E40/H40*100-100</f>
        <v>-58.24598183088749</v>
      </c>
      <c r="K40" s="210">
        <f aca="true" t="shared" si="14" ref="K40:L42">ROUND(H40*$A$1,2)</f>
        <v>28.62</v>
      </c>
      <c r="L40" s="210">
        <f t="shared" si="14"/>
        <v>0</v>
      </c>
      <c r="M40" s="210">
        <f aca="true" t="shared" si="15" ref="M40:N44">MIN(E40,K40)</f>
        <v>11.950000000000001</v>
      </c>
      <c r="N40" s="209">
        <f t="shared" si="15"/>
        <v>0</v>
      </c>
      <c r="O40" s="174">
        <f>M40/H40*100-100</f>
        <v>-58.24598183088749</v>
      </c>
      <c r="P40" s="178">
        <f aca="true" t="shared" si="16" ref="P40:Q44">ROUND(M40/E40*100,1)</f>
        <v>100</v>
      </c>
      <c r="Q40" s="178" t="e">
        <f t="shared" si="16"/>
        <v>#DIV/0!</v>
      </c>
    </row>
    <row r="41" spans="1:17" ht="12.75">
      <c r="A41" s="84"/>
      <c r="B41" s="315" t="s">
        <v>175</v>
      </c>
      <c r="C41" s="316" t="s">
        <v>176</v>
      </c>
      <c r="D41" s="313" t="s">
        <v>704</v>
      </c>
      <c r="E41" s="317">
        <f>калькуляция!AE56</f>
        <v>2.01</v>
      </c>
      <c r="F41" s="318">
        <f>калькуляция!BS56</f>
        <v>0</v>
      </c>
      <c r="G41" s="317" t="s">
        <v>927</v>
      </c>
      <c r="H41" s="312">
        <v>1.47</v>
      </c>
      <c r="I41" s="312"/>
      <c r="J41" s="171">
        <f>E41/H41*100-100</f>
        <v>36.734693877551024</v>
      </c>
      <c r="K41" s="210">
        <f t="shared" si="14"/>
        <v>1.47</v>
      </c>
      <c r="L41" s="210">
        <f t="shared" si="14"/>
        <v>0</v>
      </c>
      <c r="M41" s="210">
        <f t="shared" si="15"/>
        <v>1.47</v>
      </c>
      <c r="N41" s="209">
        <f t="shared" si="15"/>
        <v>0</v>
      </c>
      <c r="O41" s="174">
        <f>M41/H41*100-100</f>
        <v>0</v>
      </c>
      <c r="P41" s="178">
        <f t="shared" si="16"/>
        <v>73.1</v>
      </c>
      <c r="Q41" s="178" t="e">
        <f t="shared" si="16"/>
        <v>#DIV/0!</v>
      </c>
    </row>
    <row r="42" spans="1:17" ht="27.75" customHeight="1">
      <c r="A42" s="84"/>
      <c r="B42" s="235" t="s">
        <v>854</v>
      </c>
      <c r="C42" s="316" t="str">
        <f>калькуляция!C57</f>
        <v>гигиеническое обучение декретированных контингентов (включая оценку знаний) 1 человек</v>
      </c>
      <c r="D42" s="313" t="s">
        <v>711</v>
      </c>
      <c r="E42" s="317">
        <f>калькуляция!AE57</f>
        <v>17.38</v>
      </c>
      <c r="F42" s="318"/>
      <c r="G42" s="369" t="s">
        <v>824</v>
      </c>
      <c r="H42" s="312">
        <v>12.74</v>
      </c>
      <c r="I42" s="312"/>
      <c r="J42" s="171">
        <f>E42/H42*100-100</f>
        <v>36.42072213500785</v>
      </c>
      <c r="K42" s="210">
        <f t="shared" si="14"/>
        <v>12.74</v>
      </c>
      <c r="L42" s="210">
        <f t="shared" si="14"/>
        <v>0</v>
      </c>
      <c r="M42" s="210">
        <f>MIN(E42,K42)</f>
        <v>12.74</v>
      </c>
      <c r="N42" s="209">
        <f>MIN(F42,L42)</f>
        <v>0</v>
      </c>
      <c r="O42" s="174">
        <f>M42/H42*100-100</f>
        <v>0</v>
      </c>
      <c r="P42" s="178">
        <f>ROUND(M42/E42*100,1)</f>
        <v>73.3</v>
      </c>
      <c r="Q42" s="178" t="e">
        <f>ROUND(N42/F42*100,1)</f>
        <v>#DIV/0!</v>
      </c>
    </row>
    <row r="43" spans="1:17" ht="42.75" customHeight="1">
      <c r="A43" s="84"/>
      <c r="B43" s="235" t="s">
        <v>177</v>
      </c>
      <c r="C43" s="279" t="s">
        <v>178</v>
      </c>
      <c r="D43" s="231" t="s">
        <v>712</v>
      </c>
      <c r="E43" s="208">
        <f>калькуляция!AE58</f>
        <v>28.259999999999998</v>
      </c>
      <c r="F43" s="209">
        <f>калькуляция!BS58</f>
        <v>0</v>
      </c>
      <c r="G43" s="208" t="s">
        <v>926</v>
      </c>
      <c r="H43" s="211">
        <v>28.62</v>
      </c>
      <c r="I43" s="211"/>
      <c r="J43" s="171">
        <f>E43/H43*100-100</f>
        <v>-1.257861635220138</v>
      </c>
      <c r="K43" s="320">
        <f>E43</f>
        <v>28.259999999999998</v>
      </c>
      <c r="L43" s="320">
        <f>F43</f>
        <v>0</v>
      </c>
      <c r="M43" s="210">
        <f t="shared" si="15"/>
        <v>28.259999999999998</v>
      </c>
      <c r="N43" s="209">
        <f t="shared" si="15"/>
        <v>0</v>
      </c>
      <c r="O43" s="174">
        <f>M43/H43*100-100</f>
        <v>-1.257861635220138</v>
      </c>
      <c r="P43" s="178">
        <f t="shared" si="16"/>
        <v>100</v>
      </c>
      <c r="Q43" s="178" t="e">
        <f t="shared" si="16"/>
        <v>#DIV/0!</v>
      </c>
    </row>
    <row r="44" spans="1:17" ht="67.5" customHeight="1">
      <c r="A44" s="84"/>
      <c r="B44" s="235" t="s">
        <v>179</v>
      </c>
      <c r="C44" s="279" t="s">
        <v>180</v>
      </c>
      <c r="D44" s="231" t="s">
        <v>713</v>
      </c>
      <c r="E44" s="208">
        <f>калькуляция!AE59</f>
        <v>23.91</v>
      </c>
      <c r="F44" s="209">
        <f>калькуляция!BS59</f>
        <v>0</v>
      </c>
      <c r="G44" s="208" t="s">
        <v>1015</v>
      </c>
      <c r="H44" s="211">
        <v>6.91</v>
      </c>
      <c r="I44" s="211"/>
      <c r="J44" s="171">
        <f>E44/H44*100-100</f>
        <v>246.0202604920405</v>
      </c>
      <c r="K44" s="320">
        <f>H44</f>
        <v>6.91</v>
      </c>
      <c r="L44" s="320">
        <f>F44</f>
        <v>0</v>
      </c>
      <c r="M44" s="210">
        <f t="shared" si="15"/>
        <v>6.91</v>
      </c>
      <c r="N44" s="209">
        <f t="shared" si="15"/>
        <v>0</v>
      </c>
      <c r="O44" s="174">
        <f>M44/H44*100-100</f>
        <v>0</v>
      </c>
      <c r="P44" s="178">
        <f t="shared" si="16"/>
        <v>28.9</v>
      </c>
      <c r="Q44" s="178" t="e">
        <f t="shared" si="16"/>
        <v>#DIV/0!</v>
      </c>
    </row>
    <row r="45" spans="1:17" ht="16.5" customHeight="1">
      <c r="A45" s="84"/>
      <c r="B45" s="233" t="s">
        <v>181</v>
      </c>
      <c r="C45" s="276" t="s">
        <v>182</v>
      </c>
      <c r="D45" s="281"/>
      <c r="E45" s="208"/>
      <c r="F45" s="209"/>
      <c r="G45" s="208"/>
      <c r="H45" s="211"/>
      <c r="I45" s="211"/>
      <c r="J45" s="171"/>
      <c r="K45" s="210"/>
      <c r="L45" s="210"/>
      <c r="M45" s="210"/>
      <c r="N45" s="209"/>
      <c r="O45" s="174"/>
      <c r="P45" s="178"/>
      <c r="Q45" s="178"/>
    </row>
    <row r="46" spans="1:17" ht="43.5" customHeight="1">
      <c r="A46" s="84"/>
      <c r="B46" s="235" t="s">
        <v>183</v>
      </c>
      <c r="C46" s="279" t="s">
        <v>184</v>
      </c>
      <c r="D46" s="231" t="s">
        <v>714</v>
      </c>
      <c r="E46" s="208">
        <f>калькуляция!AE61</f>
        <v>25.13</v>
      </c>
      <c r="F46" s="209">
        <f>калькуляция!BS61</f>
        <v>0</v>
      </c>
      <c r="G46" s="208" t="s">
        <v>739</v>
      </c>
      <c r="H46" s="211">
        <v>3.3</v>
      </c>
      <c r="I46" s="211"/>
      <c r="J46" s="171">
        <f aca="true" t="shared" si="17" ref="J46:J71">E46/H46*100-100</f>
        <v>661.5151515151515</v>
      </c>
      <c r="K46" s="210">
        <f aca="true" t="shared" si="18" ref="K46:K60">ROUND(H46*$A$1,2)</f>
        <v>3.3</v>
      </c>
      <c r="L46" s="210">
        <f aca="true" t="shared" si="19" ref="L46:L60">ROUND(I46*$A$1,2)</f>
        <v>0</v>
      </c>
      <c r="M46" s="210">
        <f aca="true" t="shared" si="20" ref="M46:M71">MIN(E46,K46)</f>
        <v>3.3</v>
      </c>
      <c r="N46" s="209">
        <f aca="true" t="shared" si="21" ref="N46:N71">MIN(F46,L46)</f>
        <v>0</v>
      </c>
      <c r="O46" s="174">
        <f aca="true" t="shared" si="22" ref="O46:O71">M46/H46*100-100</f>
        <v>0</v>
      </c>
      <c r="P46" s="178">
        <f aca="true" t="shared" si="23" ref="P46:P71">ROUND(M46/E46*100,1)</f>
        <v>13.1</v>
      </c>
      <c r="Q46" s="178" t="e">
        <f aca="true" t="shared" si="24" ref="Q46:Q71">ROUND(N46/F46*100,1)</f>
        <v>#DIV/0!</v>
      </c>
    </row>
    <row r="47" spans="1:17" ht="27.75" customHeight="1">
      <c r="A47" s="84"/>
      <c r="B47" s="235" t="s">
        <v>185</v>
      </c>
      <c r="C47" s="279" t="s">
        <v>186</v>
      </c>
      <c r="D47" s="231" t="s">
        <v>714</v>
      </c>
      <c r="E47" s="208">
        <f>калькуляция!AE62</f>
        <v>23.57</v>
      </c>
      <c r="F47" s="209">
        <f>калькуляция!BS62</f>
        <v>0</v>
      </c>
      <c r="G47" s="208" t="s">
        <v>740</v>
      </c>
      <c r="H47" s="211">
        <v>2.18</v>
      </c>
      <c r="I47" s="211"/>
      <c r="J47" s="171">
        <f t="shared" si="17"/>
        <v>981.1926605504586</v>
      </c>
      <c r="K47" s="210">
        <f t="shared" si="18"/>
        <v>2.18</v>
      </c>
      <c r="L47" s="210">
        <f t="shared" si="19"/>
        <v>0</v>
      </c>
      <c r="M47" s="210">
        <f t="shared" si="20"/>
        <v>2.18</v>
      </c>
      <c r="N47" s="209">
        <f t="shared" si="21"/>
        <v>0</v>
      </c>
      <c r="O47" s="174">
        <f t="shared" si="22"/>
        <v>0</v>
      </c>
      <c r="P47" s="178">
        <f t="shared" si="23"/>
        <v>9.2</v>
      </c>
      <c r="Q47" s="178" t="e">
        <f t="shared" si="24"/>
        <v>#DIV/0!</v>
      </c>
    </row>
    <row r="48" spans="1:17" ht="29.25" customHeight="1">
      <c r="A48" s="84"/>
      <c r="B48" s="235" t="s">
        <v>187</v>
      </c>
      <c r="C48" s="279" t="s">
        <v>188</v>
      </c>
      <c r="D48" s="231" t="s">
        <v>714</v>
      </c>
      <c r="E48" s="208">
        <f>калькуляция!AE63</f>
        <v>34.529999999999994</v>
      </c>
      <c r="F48" s="209">
        <f>калькуляция!BS63</f>
        <v>0</v>
      </c>
      <c r="G48" s="208" t="s">
        <v>741</v>
      </c>
      <c r="H48" s="211">
        <v>4.91</v>
      </c>
      <c r="I48" s="211"/>
      <c r="J48" s="171">
        <f t="shared" si="17"/>
        <v>603.2586558044806</v>
      </c>
      <c r="K48" s="210">
        <f t="shared" si="18"/>
        <v>4.91</v>
      </c>
      <c r="L48" s="210">
        <f t="shared" si="19"/>
        <v>0</v>
      </c>
      <c r="M48" s="210">
        <f t="shared" si="20"/>
        <v>4.91</v>
      </c>
      <c r="N48" s="209">
        <f t="shared" si="21"/>
        <v>0</v>
      </c>
      <c r="O48" s="174">
        <f t="shared" si="22"/>
        <v>0</v>
      </c>
      <c r="P48" s="178">
        <f t="shared" si="23"/>
        <v>14.2</v>
      </c>
      <c r="Q48" s="178" t="e">
        <f t="shared" si="24"/>
        <v>#DIV/0!</v>
      </c>
    </row>
    <row r="49" spans="1:17" ht="30" customHeight="1">
      <c r="A49" s="24"/>
      <c r="B49" s="235" t="s">
        <v>189</v>
      </c>
      <c r="C49" s="279" t="s">
        <v>190</v>
      </c>
      <c r="D49" s="231" t="s">
        <v>714</v>
      </c>
      <c r="E49" s="208">
        <f>калькуляция!AE64</f>
        <v>47.07000000000001</v>
      </c>
      <c r="F49" s="209">
        <f>калькуляция!BS64</f>
        <v>0</v>
      </c>
      <c r="G49" s="208" t="s">
        <v>742</v>
      </c>
      <c r="H49" s="211">
        <v>9.97</v>
      </c>
      <c r="I49" s="211"/>
      <c r="J49" s="171">
        <f t="shared" si="17"/>
        <v>372.11634904714145</v>
      </c>
      <c r="K49" s="210">
        <f t="shared" si="18"/>
        <v>9.97</v>
      </c>
      <c r="L49" s="210">
        <f t="shared" si="19"/>
        <v>0</v>
      </c>
      <c r="M49" s="210">
        <f t="shared" si="20"/>
        <v>9.97</v>
      </c>
      <c r="N49" s="209">
        <f t="shared" si="21"/>
        <v>0</v>
      </c>
      <c r="O49" s="174">
        <f t="shared" si="22"/>
        <v>0</v>
      </c>
      <c r="P49" s="178">
        <f t="shared" si="23"/>
        <v>21.2</v>
      </c>
      <c r="Q49" s="178" t="e">
        <f t="shared" si="24"/>
        <v>#DIV/0!</v>
      </c>
    </row>
    <row r="50" spans="1:17" ht="22.5" customHeight="1">
      <c r="A50" s="24"/>
      <c r="B50" s="235" t="s">
        <v>191</v>
      </c>
      <c r="C50" s="279" t="s">
        <v>192</v>
      </c>
      <c r="D50" s="231" t="s">
        <v>714</v>
      </c>
      <c r="E50" s="208">
        <f>калькуляция!AE65</f>
        <v>56.51</v>
      </c>
      <c r="F50" s="209">
        <f>калькуляция!BS65</f>
        <v>0</v>
      </c>
      <c r="G50" s="208" t="s">
        <v>743</v>
      </c>
      <c r="H50" s="211">
        <v>12.52</v>
      </c>
      <c r="I50" s="211"/>
      <c r="J50" s="171">
        <f t="shared" si="17"/>
        <v>351.3578274760383</v>
      </c>
      <c r="K50" s="210">
        <f t="shared" si="18"/>
        <v>12.52</v>
      </c>
      <c r="L50" s="210">
        <f t="shared" si="19"/>
        <v>0</v>
      </c>
      <c r="M50" s="210">
        <f t="shared" si="20"/>
        <v>12.52</v>
      </c>
      <c r="N50" s="209">
        <f t="shared" si="21"/>
        <v>0</v>
      </c>
      <c r="O50" s="174">
        <f t="shared" si="22"/>
        <v>0</v>
      </c>
      <c r="P50" s="178">
        <f t="shared" si="23"/>
        <v>22.2</v>
      </c>
      <c r="Q50" s="178" t="e">
        <f t="shared" si="24"/>
        <v>#DIV/0!</v>
      </c>
    </row>
    <row r="51" spans="1:17" ht="30.75" customHeight="1">
      <c r="A51" s="24"/>
      <c r="B51" s="235" t="s">
        <v>193</v>
      </c>
      <c r="C51" s="279" t="s">
        <v>194</v>
      </c>
      <c r="D51" s="231" t="s">
        <v>714</v>
      </c>
      <c r="E51" s="208">
        <f>калькуляция!AE66</f>
        <v>65.92</v>
      </c>
      <c r="F51" s="209">
        <f>калькуляция!BS66</f>
        <v>0</v>
      </c>
      <c r="G51" s="208" t="s">
        <v>744</v>
      </c>
      <c r="H51" s="211">
        <v>16.47</v>
      </c>
      <c r="I51" s="211"/>
      <c r="J51" s="171">
        <f t="shared" si="17"/>
        <v>300.2428658166363</v>
      </c>
      <c r="K51" s="210">
        <f t="shared" si="18"/>
        <v>16.47</v>
      </c>
      <c r="L51" s="210">
        <f t="shared" si="19"/>
        <v>0</v>
      </c>
      <c r="M51" s="210">
        <f t="shared" si="20"/>
        <v>16.47</v>
      </c>
      <c r="N51" s="209">
        <f t="shared" si="21"/>
        <v>0</v>
      </c>
      <c r="O51" s="174">
        <f t="shared" si="22"/>
        <v>0</v>
      </c>
      <c r="P51" s="178">
        <f t="shared" si="23"/>
        <v>25</v>
      </c>
      <c r="Q51" s="178" t="e">
        <f t="shared" si="24"/>
        <v>#DIV/0!</v>
      </c>
    </row>
    <row r="52" spans="1:17" ht="29.25" customHeight="1">
      <c r="A52" s="84"/>
      <c r="B52" s="235" t="s">
        <v>195</v>
      </c>
      <c r="C52" s="279" t="s">
        <v>196</v>
      </c>
      <c r="D52" s="231" t="s">
        <v>714</v>
      </c>
      <c r="E52" s="208">
        <f>калькуляция!AE67</f>
        <v>75.33999999999999</v>
      </c>
      <c r="F52" s="209">
        <f>калькуляция!BS67</f>
        <v>0</v>
      </c>
      <c r="G52" s="208" t="s">
        <v>745</v>
      </c>
      <c r="H52" s="211">
        <v>20.92</v>
      </c>
      <c r="I52" s="211"/>
      <c r="J52" s="171">
        <f t="shared" si="17"/>
        <v>260.133843212237</v>
      </c>
      <c r="K52" s="210">
        <f t="shared" si="18"/>
        <v>20.92</v>
      </c>
      <c r="L52" s="210">
        <f t="shared" si="19"/>
        <v>0</v>
      </c>
      <c r="M52" s="210">
        <f t="shared" si="20"/>
        <v>20.92</v>
      </c>
      <c r="N52" s="209">
        <f t="shared" si="21"/>
        <v>0</v>
      </c>
      <c r="O52" s="174">
        <f t="shared" si="22"/>
        <v>0</v>
      </c>
      <c r="P52" s="178">
        <f t="shared" si="23"/>
        <v>27.8</v>
      </c>
      <c r="Q52" s="178" t="e">
        <f t="shared" si="24"/>
        <v>#DIV/0!</v>
      </c>
    </row>
    <row r="53" spans="1:17" ht="27.75" customHeight="1">
      <c r="A53" s="84"/>
      <c r="B53" s="315" t="s">
        <v>197</v>
      </c>
      <c r="C53" s="316" t="s">
        <v>198</v>
      </c>
      <c r="D53" s="313" t="s">
        <v>714</v>
      </c>
      <c r="E53" s="317">
        <f>калькуляция!AE68</f>
        <v>84.76</v>
      </c>
      <c r="F53" s="318">
        <f>калькуляция!BS68</f>
        <v>0</v>
      </c>
      <c r="G53" s="317"/>
      <c r="H53" s="312"/>
      <c r="I53" s="312"/>
      <c r="J53" s="171" t="e">
        <f t="shared" si="17"/>
        <v>#DIV/0!</v>
      </c>
      <c r="K53" s="210">
        <f>E53</f>
        <v>84.76</v>
      </c>
      <c r="L53" s="210">
        <f>ROUND(I53*$A$1,2)</f>
        <v>0</v>
      </c>
      <c r="M53" s="210">
        <f>MIN(E53,K53)</f>
        <v>84.76</v>
      </c>
      <c r="N53" s="209">
        <f>MIN(F53,L53)</f>
        <v>0</v>
      </c>
      <c r="O53" s="174" t="e">
        <f t="shared" si="22"/>
        <v>#DIV/0!</v>
      </c>
      <c r="P53" s="178">
        <f t="shared" si="23"/>
        <v>100</v>
      </c>
      <c r="Q53" s="178" t="e">
        <f t="shared" si="24"/>
        <v>#DIV/0!</v>
      </c>
    </row>
    <row r="54" spans="1:17" ht="28.5" customHeight="1">
      <c r="A54" s="84"/>
      <c r="B54" s="315" t="s">
        <v>199</v>
      </c>
      <c r="C54" s="316" t="s">
        <v>200</v>
      </c>
      <c r="D54" s="313" t="s">
        <v>714</v>
      </c>
      <c r="E54" s="317">
        <f>калькуляция!AE69</f>
        <v>94.16</v>
      </c>
      <c r="F54" s="318">
        <f>калькуляция!BS69</f>
        <v>0</v>
      </c>
      <c r="G54" s="317"/>
      <c r="H54" s="312"/>
      <c r="I54" s="312"/>
      <c r="J54" s="171" t="e">
        <f t="shared" si="17"/>
        <v>#DIV/0!</v>
      </c>
      <c r="K54" s="210">
        <f>E54</f>
        <v>94.16</v>
      </c>
      <c r="L54" s="210">
        <f>ROUND(I54*$A$1,2)</f>
        <v>0</v>
      </c>
      <c r="M54" s="210">
        <f>MIN(E54,K54)</f>
        <v>94.16</v>
      </c>
      <c r="N54" s="209">
        <f>MIN(F54,L54)</f>
        <v>0</v>
      </c>
      <c r="O54" s="174" t="e">
        <f t="shared" si="22"/>
        <v>#DIV/0!</v>
      </c>
      <c r="P54" s="178">
        <f t="shared" si="23"/>
        <v>100</v>
      </c>
      <c r="Q54" s="178" t="e">
        <f t="shared" si="24"/>
        <v>#DIV/0!</v>
      </c>
    </row>
    <row r="55" spans="1:17" ht="15" customHeight="1">
      <c r="A55" s="84"/>
      <c r="B55" s="233" t="s">
        <v>201</v>
      </c>
      <c r="C55" s="276" t="s">
        <v>202</v>
      </c>
      <c r="D55" s="313"/>
      <c r="E55" s="317"/>
      <c r="F55" s="318"/>
      <c r="G55" s="317"/>
      <c r="H55" s="312"/>
      <c r="I55" s="312"/>
      <c r="J55" s="171"/>
      <c r="K55" s="210"/>
      <c r="L55" s="210"/>
      <c r="M55" s="210"/>
      <c r="N55" s="209"/>
      <c r="O55" s="174"/>
      <c r="P55" s="178"/>
      <c r="Q55" s="178"/>
    </row>
    <row r="56" spans="1:17" ht="15" customHeight="1">
      <c r="A56" s="84"/>
      <c r="B56" s="235" t="str">
        <f>калькуляция!B71</f>
        <v>1.18.1.</v>
      </c>
      <c r="C56" s="355" t="str">
        <f>калькуляция!C71</f>
        <v>проектов технических описаний, рецептур на продукцию, технологических инструкций (на 1 разработанный документ)</v>
      </c>
      <c r="D56" s="313" t="s">
        <v>714</v>
      </c>
      <c r="E56" s="317">
        <f>калькуляция!AE71</f>
        <v>9.979999999999999</v>
      </c>
      <c r="F56" s="318">
        <f>калькуляция!BS71</f>
        <v>0</v>
      </c>
      <c r="G56" s="317" t="s">
        <v>1018</v>
      </c>
      <c r="H56" s="312">
        <v>11.47</v>
      </c>
      <c r="I56" s="312"/>
      <c r="J56" s="171">
        <f>E56/H56*100-100</f>
        <v>-12.990409764603328</v>
      </c>
      <c r="K56" s="210">
        <f>E56</f>
        <v>9.979999999999999</v>
      </c>
      <c r="L56" s="210">
        <f>ROUND(I56*$A$1,2)</f>
        <v>0</v>
      </c>
      <c r="M56" s="210">
        <f>MIN(E56,K56)</f>
        <v>9.979999999999999</v>
      </c>
      <c r="N56" s="209">
        <f>MIN(F56,L56)</f>
        <v>0</v>
      </c>
      <c r="O56" s="174">
        <f>M56/H56*100-100</f>
        <v>-12.990409764603328</v>
      </c>
      <c r="P56" s="178">
        <f>ROUND(M56/E56*100,1)</f>
        <v>100</v>
      </c>
      <c r="Q56" s="178" t="e">
        <f>ROUND(N56/F56*100,1)</f>
        <v>#DIV/0!</v>
      </c>
    </row>
    <row r="57" spans="1:17" ht="100.5" customHeight="1">
      <c r="A57" s="84"/>
      <c r="B57" s="235" t="s">
        <v>203</v>
      </c>
      <c r="C57" s="279" t="s">
        <v>204</v>
      </c>
      <c r="D57" s="231" t="s">
        <v>41</v>
      </c>
      <c r="E57" s="208">
        <f>калькуляция!AE71</f>
        <v>9.979999999999999</v>
      </c>
      <c r="F57" s="209">
        <f>калькуляция!BS71</f>
        <v>0</v>
      </c>
      <c r="G57" s="208" t="s">
        <v>746</v>
      </c>
      <c r="H57" s="211">
        <v>5.81</v>
      </c>
      <c r="I57" s="211"/>
      <c r="J57" s="171">
        <f t="shared" si="17"/>
        <v>71.77280550774526</v>
      </c>
      <c r="K57" s="210">
        <f t="shared" si="18"/>
        <v>5.81</v>
      </c>
      <c r="L57" s="210">
        <f t="shared" si="19"/>
        <v>0</v>
      </c>
      <c r="M57" s="210">
        <f t="shared" si="20"/>
        <v>5.81</v>
      </c>
      <c r="N57" s="209">
        <f t="shared" si="21"/>
        <v>0</v>
      </c>
      <c r="O57" s="174">
        <f t="shared" si="22"/>
        <v>0</v>
      </c>
      <c r="P57" s="178">
        <f t="shared" si="23"/>
        <v>58.2</v>
      </c>
      <c r="Q57" s="178" t="e">
        <f t="shared" si="24"/>
        <v>#DIV/0!</v>
      </c>
    </row>
    <row r="58" spans="1:17" ht="92.25" customHeight="1">
      <c r="A58" s="84"/>
      <c r="B58" s="235" t="s">
        <v>205</v>
      </c>
      <c r="C58" s="279" t="s">
        <v>206</v>
      </c>
      <c r="D58" s="231" t="s">
        <v>41</v>
      </c>
      <c r="E58" s="208">
        <f>калькуляция!AE73</f>
        <v>63.769999999999996</v>
      </c>
      <c r="F58" s="209">
        <f>калькуляция!BS73</f>
        <v>0</v>
      </c>
      <c r="G58" s="208" t="s">
        <v>747</v>
      </c>
      <c r="H58" s="211">
        <v>8.71</v>
      </c>
      <c r="I58" s="211"/>
      <c r="J58" s="171">
        <f t="shared" si="17"/>
        <v>632.1469575200917</v>
      </c>
      <c r="K58" s="210">
        <f t="shared" si="18"/>
        <v>8.71</v>
      </c>
      <c r="L58" s="210">
        <f t="shared" si="19"/>
        <v>0</v>
      </c>
      <c r="M58" s="210">
        <f t="shared" si="20"/>
        <v>8.71</v>
      </c>
      <c r="N58" s="209">
        <f t="shared" si="21"/>
        <v>0</v>
      </c>
      <c r="O58" s="174">
        <f t="shared" si="22"/>
        <v>0</v>
      </c>
      <c r="P58" s="178">
        <f t="shared" si="23"/>
        <v>13.7</v>
      </c>
      <c r="Q58" s="178" t="e">
        <f t="shared" si="24"/>
        <v>#DIV/0!</v>
      </c>
    </row>
    <row r="59" spans="1:17" ht="102.75" customHeight="1">
      <c r="A59" s="84"/>
      <c r="B59" s="235" t="s">
        <v>207</v>
      </c>
      <c r="C59" s="279" t="s">
        <v>208</v>
      </c>
      <c r="D59" s="231" t="s">
        <v>41</v>
      </c>
      <c r="E59" s="208">
        <f>калькуляция!AE74</f>
        <v>123.53999999999999</v>
      </c>
      <c r="F59" s="209">
        <f>калькуляция!BS74</f>
        <v>0</v>
      </c>
      <c r="G59" s="208" t="s">
        <v>748</v>
      </c>
      <c r="H59" s="211">
        <v>11.9</v>
      </c>
      <c r="I59" s="211"/>
      <c r="J59" s="171">
        <f t="shared" si="17"/>
        <v>938.1512605042014</v>
      </c>
      <c r="K59" s="210">
        <f t="shared" si="18"/>
        <v>11.9</v>
      </c>
      <c r="L59" s="210">
        <f t="shared" si="19"/>
        <v>0</v>
      </c>
      <c r="M59" s="210">
        <f t="shared" si="20"/>
        <v>11.9</v>
      </c>
      <c r="N59" s="209">
        <f t="shared" si="21"/>
        <v>0</v>
      </c>
      <c r="O59" s="174">
        <f t="shared" si="22"/>
        <v>0</v>
      </c>
      <c r="P59" s="178">
        <f t="shared" si="23"/>
        <v>9.6</v>
      </c>
      <c r="Q59" s="178" t="e">
        <f t="shared" si="24"/>
        <v>#DIV/0!</v>
      </c>
    </row>
    <row r="60" spans="1:17" ht="96.75" customHeight="1">
      <c r="A60" s="84"/>
      <c r="B60" s="235" t="s">
        <v>209</v>
      </c>
      <c r="C60" s="279" t="s">
        <v>210</v>
      </c>
      <c r="D60" s="231" t="s">
        <v>41</v>
      </c>
      <c r="E60" s="208">
        <f>калькуляция!AE75</f>
        <v>183.32999999999998</v>
      </c>
      <c r="F60" s="209">
        <f>калькуляция!BS75</f>
        <v>0</v>
      </c>
      <c r="G60" s="208" t="s">
        <v>749</v>
      </c>
      <c r="H60" s="211">
        <v>14.13</v>
      </c>
      <c r="I60" s="211"/>
      <c r="J60" s="171">
        <f t="shared" si="17"/>
        <v>1197.452229299363</v>
      </c>
      <c r="K60" s="210">
        <f t="shared" si="18"/>
        <v>14.13</v>
      </c>
      <c r="L60" s="210">
        <f t="shared" si="19"/>
        <v>0</v>
      </c>
      <c r="M60" s="210">
        <f t="shared" si="20"/>
        <v>14.13</v>
      </c>
      <c r="N60" s="209">
        <f t="shared" si="21"/>
        <v>0</v>
      </c>
      <c r="O60" s="174">
        <f t="shared" si="22"/>
        <v>0</v>
      </c>
      <c r="P60" s="178">
        <f t="shared" si="23"/>
        <v>7.7</v>
      </c>
      <c r="Q60" s="178" t="e">
        <f t="shared" si="24"/>
        <v>#DIV/0!</v>
      </c>
    </row>
    <row r="61" spans="1:17" ht="33.75" customHeight="1">
      <c r="A61" s="84"/>
      <c r="B61" s="315" t="s">
        <v>211</v>
      </c>
      <c r="C61" s="316" t="s">
        <v>212</v>
      </c>
      <c r="D61" s="313" t="s">
        <v>41</v>
      </c>
      <c r="E61" s="317">
        <f>калькуляция!AE76</f>
        <v>31.88</v>
      </c>
      <c r="F61" s="318">
        <f>калькуляция!BS76</f>
        <v>0</v>
      </c>
      <c r="G61" s="317" t="s">
        <v>746</v>
      </c>
      <c r="H61" s="312">
        <v>5.81</v>
      </c>
      <c r="I61" s="312"/>
      <c r="J61" s="171">
        <f t="shared" si="17"/>
        <v>448.7091222030981</v>
      </c>
      <c r="K61" s="320">
        <f>H61</f>
        <v>5.81</v>
      </c>
      <c r="L61" s="320">
        <f aca="true" t="shared" si="25" ref="K61:L65">F61</f>
        <v>0</v>
      </c>
      <c r="M61" s="210">
        <f t="shared" si="20"/>
        <v>5.81</v>
      </c>
      <c r="N61" s="209">
        <f t="shared" si="21"/>
        <v>0</v>
      </c>
      <c r="O61" s="174">
        <f t="shared" si="22"/>
        <v>0</v>
      </c>
      <c r="P61" s="178">
        <f t="shared" si="23"/>
        <v>18.2</v>
      </c>
      <c r="Q61" s="178" t="e">
        <f t="shared" si="24"/>
        <v>#DIV/0!</v>
      </c>
    </row>
    <row r="62" spans="1:17" ht="33.75" customHeight="1">
      <c r="A62" s="84"/>
      <c r="B62" s="315" t="s">
        <v>213</v>
      </c>
      <c r="C62" s="316" t="s">
        <v>214</v>
      </c>
      <c r="D62" s="313" t="s">
        <v>41</v>
      </c>
      <c r="E62" s="317">
        <f>калькуляция!AE77</f>
        <v>55.800000000000004</v>
      </c>
      <c r="F62" s="318">
        <f>калькуляция!BS77</f>
        <v>0</v>
      </c>
      <c r="G62" s="317" t="s">
        <v>747</v>
      </c>
      <c r="H62" s="312">
        <v>8.71</v>
      </c>
      <c r="I62" s="312"/>
      <c r="J62" s="171">
        <f t="shared" si="17"/>
        <v>540.6429391504017</v>
      </c>
      <c r="K62" s="320">
        <f>H62</f>
        <v>8.71</v>
      </c>
      <c r="L62" s="320">
        <f t="shared" si="25"/>
        <v>0</v>
      </c>
      <c r="M62" s="210">
        <f t="shared" si="20"/>
        <v>8.71</v>
      </c>
      <c r="N62" s="209">
        <f t="shared" si="21"/>
        <v>0</v>
      </c>
      <c r="O62" s="174">
        <f t="shared" si="22"/>
        <v>0</v>
      </c>
      <c r="P62" s="178">
        <f t="shared" si="23"/>
        <v>15.6</v>
      </c>
      <c r="Q62" s="178" t="e">
        <f t="shared" si="24"/>
        <v>#DIV/0!</v>
      </c>
    </row>
    <row r="63" spans="1:17" ht="36.75" customHeight="1">
      <c r="A63" s="84"/>
      <c r="B63" s="315" t="s">
        <v>215</v>
      </c>
      <c r="C63" s="316" t="s">
        <v>216</v>
      </c>
      <c r="D63" s="313" t="s">
        <v>41</v>
      </c>
      <c r="E63" s="317">
        <f>калькуляция!AE78</f>
        <v>63.769999999999996</v>
      </c>
      <c r="F63" s="318">
        <f>калькуляция!BS78</f>
        <v>0</v>
      </c>
      <c r="G63" s="317" t="s">
        <v>748</v>
      </c>
      <c r="H63" s="312">
        <v>11.9</v>
      </c>
      <c r="I63" s="312"/>
      <c r="J63" s="171">
        <f t="shared" si="17"/>
        <v>435.88235294117646</v>
      </c>
      <c r="K63" s="320">
        <f>H63</f>
        <v>11.9</v>
      </c>
      <c r="L63" s="320">
        <f t="shared" si="25"/>
        <v>0</v>
      </c>
      <c r="M63" s="210">
        <f t="shared" si="20"/>
        <v>11.9</v>
      </c>
      <c r="N63" s="209">
        <f t="shared" si="21"/>
        <v>0</v>
      </c>
      <c r="O63" s="174">
        <f t="shared" si="22"/>
        <v>0</v>
      </c>
      <c r="P63" s="178">
        <f t="shared" si="23"/>
        <v>18.7</v>
      </c>
      <c r="Q63" s="178" t="e">
        <f t="shared" si="24"/>
        <v>#DIV/0!</v>
      </c>
    </row>
    <row r="64" spans="1:17" ht="30.75" customHeight="1">
      <c r="A64" s="84"/>
      <c r="B64" s="315" t="s">
        <v>217</v>
      </c>
      <c r="C64" s="316" t="s">
        <v>218</v>
      </c>
      <c r="D64" s="313" t="s">
        <v>41</v>
      </c>
      <c r="E64" s="317">
        <f>калькуляция!AE79</f>
        <v>91.65</v>
      </c>
      <c r="F64" s="318">
        <f>калькуляция!BS79</f>
        <v>0</v>
      </c>
      <c r="G64" s="317" t="s">
        <v>749</v>
      </c>
      <c r="H64" s="312">
        <v>14.13</v>
      </c>
      <c r="I64" s="312"/>
      <c r="J64" s="171">
        <f t="shared" si="17"/>
        <v>548.619957537155</v>
      </c>
      <c r="K64" s="320">
        <f>H64</f>
        <v>14.13</v>
      </c>
      <c r="L64" s="320">
        <f t="shared" si="25"/>
        <v>0</v>
      </c>
      <c r="M64" s="210">
        <f t="shared" si="20"/>
        <v>14.13</v>
      </c>
      <c r="N64" s="209">
        <f t="shared" si="21"/>
        <v>0</v>
      </c>
      <c r="O64" s="174">
        <f t="shared" si="22"/>
        <v>0</v>
      </c>
      <c r="P64" s="178">
        <f t="shared" si="23"/>
        <v>15.4</v>
      </c>
      <c r="Q64" s="178" t="e">
        <f t="shared" si="24"/>
        <v>#DIV/0!</v>
      </c>
    </row>
    <row r="65" spans="1:17" ht="67.5" customHeight="1">
      <c r="A65" s="24"/>
      <c r="B65" s="315" t="s">
        <v>219</v>
      </c>
      <c r="C65" s="316" t="s">
        <v>220</v>
      </c>
      <c r="D65" s="313" t="s">
        <v>41</v>
      </c>
      <c r="E65" s="317">
        <f>калькуляция!AE80</f>
        <v>243.07999999999998</v>
      </c>
      <c r="F65" s="318">
        <f>калькуляция!BS80</f>
        <v>0</v>
      </c>
      <c r="G65" s="333"/>
      <c r="H65" s="312"/>
      <c r="I65" s="312"/>
      <c r="J65" s="171" t="e">
        <f t="shared" si="17"/>
        <v>#DIV/0!</v>
      </c>
      <c r="K65" s="381">
        <f t="shared" si="25"/>
        <v>243.07999999999998</v>
      </c>
      <c r="L65" s="381">
        <f t="shared" si="25"/>
        <v>0</v>
      </c>
      <c r="M65" s="381">
        <f t="shared" si="20"/>
        <v>243.07999999999998</v>
      </c>
      <c r="N65" s="382">
        <f t="shared" si="21"/>
        <v>0</v>
      </c>
      <c r="O65" s="174" t="e">
        <f t="shared" si="22"/>
        <v>#DIV/0!</v>
      </c>
      <c r="P65" s="178">
        <f t="shared" si="23"/>
        <v>100</v>
      </c>
      <c r="Q65" s="178" t="e">
        <f t="shared" si="24"/>
        <v>#DIV/0!</v>
      </c>
    </row>
    <row r="66" spans="1:17" ht="33.75" customHeight="1">
      <c r="A66" s="84"/>
      <c r="B66" s="315" t="s">
        <v>225</v>
      </c>
      <c r="C66" s="316" t="s">
        <v>226</v>
      </c>
      <c r="D66" s="313" t="s">
        <v>41</v>
      </c>
      <c r="E66" s="317">
        <f>калькуляция!AE81</f>
        <v>47.07000000000001</v>
      </c>
      <c r="F66" s="318">
        <f>калькуляция!BS81</f>
        <v>0</v>
      </c>
      <c r="G66" s="317"/>
      <c r="H66" s="312"/>
      <c r="I66" s="312"/>
      <c r="J66" s="171" t="e">
        <f t="shared" si="17"/>
        <v>#DIV/0!</v>
      </c>
      <c r="K66" s="326">
        <f aca="true" t="shared" si="26" ref="K66:K71">E66</f>
        <v>47.07000000000001</v>
      </c>
      <c r="L66" s="326">
        <f aca="true" t="shared" si="27" ref="L66:L71">F66</f>
        <v>0</v>
      </c>
      <c r="M66" s="210">
        <f t="shared" si="20"/>
        <v>47.07000000000001</v>
      </c>
      <c r="N66" s="209">
        <f t="shared" si="21"/>
        <v>0</v>
      </c>
      <c r="O66" s="174" t="e">
        <f t="shared" si="22"/>
        <v>#DIV/0!</v>
      </c>
      <c r="P66" s="178">
        <f t="shared" si="23"/>
        <v>100</v>
      </c>
      <c r="Q66" s="178" t="e">
        <f t="shared" si="24"/>
        <v>#DIV/0!</v>
      </c>
    </row>
    <row r="67" spans="1:17" ht="29.25" customHeight="1">
      <c r="A67" s="84"/>
      <c r="B67" s="315" t="s">
        <v>227</v>
      </c>
      <c r="C67" s="316" t="s">
        <v>228</v>
      </c>
      <c r="D67" s="313" t="s">
        <v>41</v>
      </c>
      <c r="E67" s="317">
        <f>калькуляция!AE82</f>
        <v>58.07</v>
      </c>
      <c r="F67" s="318">
        <f>калькуляция!BS82</f>
        <v>0</v>
      </c>
      <c r="G67" s="317"/>
      <c r="H67" s="312"/>
      <c r="I67" s="312"/>
      <c r="J67" s="171" t="e">
        <f t="shared" si="17"/>
        <v>#DIV/0!</v>
      </c>
      <c r="K67" s="326">
        <f t="shared" si="26"/>
        <v>58.07</v>
      </c>
      <c r="L67" s="326">
        <f t="shared" si="27"/>
        <v>0</v>
      </c>
      <c r="M67" s="210">
        <f t="shared" si="20"/>
        <v>58.07</v>
      </c>
      <c r="N67" s="209">
        <f t="shared" si="21"/>
        <v>0</v>
      </c>
      <c r="O67" s="174" t="e">
        <f t="shared" si="22"/>
        <v>#DIV/0!</v>
      </c>
      <c r="P67" s="178">
        <f t="shared" si="23"/>
        <v>100</v>
      </c>
      <c r="Q67" s="178" t="e">
        <f t="shared" si="24"/>
        <v>#DIV/0!</v>
      </c>
    </row>
    <row r="68" spans="1:17" ht="31.5" customHeight="1">
      <c r="A68" s="24"/>
      <c r="B68" s="315" t="s">
        <v>229</v>
      </c>
      <c r="C68" s="316" t="s">
        <v>230</v>
      </c>
      <c r="D68" s="313" t="s">
        <v>41</v>
      </c>
      <c r="E68" s="317">
        <f>калькуляция!AE83</f>
        <v>75.33999999999999</v>
      </c>
      <c r="F68" s="318">
        <f>калькуляция!BS83</f>
        <v>0</v>
      </c>
      <c r="G68" s="317"/>
      <c r="H68" s="312"/>
      <c r="I68" s="312"/>
      <c r="J68" s="171" t="e">
        <f t="shared" si="17"/>
        <v>#DIV/0!</v>
      </c>
      <c r="K68" s="326">
        <f t="shared" si="26"/>
        <v>75.33999999999999</v>
      </c>
      <c r="L68" s="326">
        <f t="shared" si="27"/>
        <v>0</v>
      </c>
      <c r="M68" s="210">
        <f t="shared" si="20"/>
        <v>75.33999999999999</v>
      </c>
      <c r="N68" s="209">
        <f t="shared" si="21"/>
        <v>0</v>
      </c>
      <c r="O68" s="174" t="e">
        <f t="shared" si="22"/>
        <v>#DIV/0!</v>
      </c>
      <c r="P68" s="178">
        <f t="shared" si="23"/>
        <v>100</v>
      </c>
      <c r="Q68" s="178" t="e">
        <f t="shared" si="24"/>
        <v>#DIV/0!</v>
      </c>
    </row>
    <row r="69" spans="1:17" ht="31.5" customHeight="1">
      <c r="A69" s="24"/>
      <c r="B69" s="315" t="s">
        <v>231</v>
      </c>
      <c r="C69" s="316" t="s">
        <v>232</v>
      </c>
      <c r="D69" s="313" t="s">
        <v>41</v>
      </c>
      <c r="E69" s="317">
        <f>калькуляция!AE84</f>
        <v>86.32</v>
      </c>
      <c r="F69" s="318">
        <f>калькуляция!BS84</f>
        <v>0</v>
      </c>
      <c r="G69" s="317"/>
      <c r="H69" s="312"/>
      <c r="I69" s="312"/>
      <c r="J69" s="171" t="e">
        <f t="shared" si="17"/>
        <v>#DIV/0!</v>
      </c>
      <c r="K69" s="326">
        <f t="shared" si="26"/>
        <v>86.32</v>
      </c>
      <c r="L69" s="326">
        <f t="shared" si="27"/>
        <v>0</v>
      </c>
      <c r="M69" s="210">
        <f t="shared" si="20"/>
        <v>86.32</v>
      </c>
      <c r="N69" s="209">
        <f t="shared" si="21"/>
        <v>0</v>
      </c>
      <c r="O69" s="174" t="e">
        <f t="shared" si="22"/>
        <v>#DIV/0!</v>
      </c>
      <c r="P69" s="178">
        <f t="shared" si="23"/>
        <v>100</v>
      </c>
      <c r="Q69" s="178" t="e">
        <f t="shared" si="24"/>
        <v>#DIV/0!</v>
      </c>
    </row>
    <row r="70" spans="1:17" ht="33.75" customHeight="1">
      <c r="A70" s="24"/>
      <c r="B70" s="315" t="s">
        <v>233</v>
      </c>
      <c r="C70" s="316" t="s">
        <v>234</v>
      </c>
      <c r="D70" s="313" t="s">
        <v>41</v>
      </c>
      <c r="E70" s="317">
        <f>калькуляция!AE85</f>
        <v>139.67999999999998</v>
      </c>
      <c r="F70" s="318">
        <f>калькуляция!BS85</f>
        <v>0</v>
      </c>
      <c r="G70" s="317"/>
      <c r="H70" s="312"/>
      <c r="I70" s="312"/>
      <c r="J70" s="171" t="e">
        <f t="shared" si="17"/>
        <v>#DIV/0!</v>
      </c>
      <c r="K70" s="326">
        <f t="shared" si="26"/>
        <v>139.67999999999998</v>
      </c>
      <c r="L70" s="326">
        <f t="shared" si="27"/>
        <v>0</v>
      </c>
      <c r="M70" s="210">
        <f t="shared" si="20"/>
        <v>139.67999999999998</v>
      </c>
      <c r="N70" s="209">
        <f t="shared" si="21"/>
        <v>0</v>
      </c>
      <c r="O70" s="174" t="e">
        <f t="shared" si="22"/>
        <v>#DIV/0!</v>
      </c>
      <c r="P70" s="178">
        <f t="shared" si="23"/>
        <v>100</v>
      </c>
      <c r="Q70" s="178" t="e">
        <f t="shared" si="24"/>
        <v>#DIV/0!</v>
      </c>
    </row>
    <row r="71" spans="1:17" ht="30" customHeight="1">
      <c r="A71" s="24"/>
      <c r="B71" s="315" t="s">
        <v>235</v>
      </c>
      <c r="C71" s="316" t="s">
        <v>236</v>
      </c>
      <c r="D71" s="313" t="s">
        <v>704</v>
      </c>
      <c r="E71" s="317">
        <f>калькуляция!AE86</f>
        <v>69.76</v>
      </c>
      <c r="F71" s="318">
        <f>калькуляция!BS86</f>
        <v>0</v>
      </c>
      <c r="G71" s="317"/>
      <c r="H71" s="312"/>
      <c r="I71" s="312"/>
      <c r="J71" s="171" t="e">
        <f t="shared" si="17"/>
        <v>#DIV/0!</v>
      </c>
      <c r="K71" s="326">
        <f t="shared" si="26"/>
        <v>69.76</v>
      </c>
      <c r="L71" s="326">
        <f t="shared" si="27"/>
        <v>0</v>
      </c>
      <c r="M71" s="210">
        <f t="shared" si="20"/>
        <v>69.76</v>
      </c>
      <c r="N71" s="209">
        <f t="shared" si="21"/>
        <v>0</v>
      </c>
      <c r="O71" s="174" t="e">
        <f t="shared" si="22"/>
        <v>#DIV/0!</v>
      </c>
      <c r="P71" s="178">
        <f t="shared" si="23"/>
        <v>100</v>
      </c>
      <c r="Q71" s="178" t="e">
        <f t="shared" si="24"/>
        <v>#DIV/0!</v>
      </c>
    </row>
    <row r="72" spans="1:17" ht="12.75">
      <c r="A72" s="24"/>
      <c r="B72" s="233" t="s">
        <v>237</v>
      </c>
      <c r="C72" s="276" t="s">
        <v>238</v>
      </c>
      <c r="D72" s="281"/>
      <c r="E72" s="208"/>
      <c r="F72" s="209"/>
      <c r="G72" s="208"/>
      <c r="H72" s="211"/>
      <c r="I72" s="211"/>
      <c r="J72" s="171"/>
      <c r="K72" s="326">
        <f>E72</f>
        <v>0</v>
      </c>
      <c r="L72" s="326">
        <f>F72</f>
        <v>0</v>
      </c>
      <c r="M72" s="210"/>
      <c r="N72" s="209"/>
      <c r="O72" s="174"/>
      <c r="P72" s="178"/>
      <c r="Q72" s="178"/>
    </row>
    <row r="73" spans="1:17" ht="69.75" customHeight="1">
      <c r="A73" s="24"/>
      <c r="B73" s="235" t="s">
        <v>239</v>
      </c>
      <c r="C73" s="279" t="s">
        <v>240</v>
      </c>
      <c r="D73" s="231" t="s">
        <v>704</v>
      </c>
      <c r="E73" s="208">
        <f>калькуляция!AE88</f>
        <v>49.82000000000001</v>
      </c>
      <c r="F73" s="209">
        <f>калькуляция!BS88</f>
        <v>0</v>
      </c>
      <c r="G73" s="208"/>
      <c r="H73" s="211"/>
      <c r="I73" s="211"/>
      <c r="J73" s="171" t="e">
        <f>E73/H73*100-100</f>
        <v>#DIV/0!</v>
      </c>
      <c r="K73" s="326">
        <f>E73</f>
        <v>49.82000000000001</v>
      </c>
      <c r="L73" s="326">
        <f>F73</f>
        <v>0</v>
      </c>
      <c r="M73" s="210">
        <f>MIN(E73,K73)</f>
        <v>49.82000000000001</v>
      </c>
      <c r="N73" s="209">
        <f>MIN(F73,L73)</f>
        <v>0</v>
      </c>
      <c r="O73" s="174" t="e">
        <f>M73/H73*100-100</f>
        <v>#DIV/0!</v>
      </c>
      <c r="P73" s="178">
        <f>ROUND(M73/E73*100,1)</f>
        <v>100</v>
      </c>
      <c r="Q73" s="178" t="e">
        <f>ROUND(N73/F73*100,1)</f>
        <v>#DIV/0!</v>
      </c>
    </row>
    <row r="74" spans="1:17" ht="12.75" customHeight="1">
      <c r="A74" s="24"/>
      <c r="B74" s="328" t="s">
        <v>241</v>
      </c>
      <c r="C74" s="329" t="s">
        <v>242</v>
      </c>
      <c r="D74" s="313"/>
      <c r="E74" s="317"/>
      <c r="F74" s="318"/>
      <c r="G74" s="317"/>
      <c r="H74" s="312"/>
      <c r="I74" s="312"/>
      <c r="J74" s="319"/>
      <c r="K74" s="326"/>
      <c r="L74" s="326"/>
      <c r="M74" s="320"/>
      <c r="N74" s="318"/>
      <c r="O74" s="321"/>
      <c r="P74" s="322"/>
      <c r="Q74" s="322"/>
    </row>
    <row r="75" spans="1:17" ht="18.75" customHeight="1">
      <c r="A75" s="84"/>
      <c r="B75" s="315" t="s">
        <v>243</v>
      </c>
      <c r="C75" s="316" t="s">
        <v>244</v>
      </c>
      <c r="D75" s="313" t="s">
        <v>704</v>
      </c>
      <c r="E75" s="317">
        <f>калькуляция!AE90</f>
        <v>69.76</v>
      </c>
      <c r="F75" s="318">
        <f>калькуляция!BS90</f>
        <v>0</v>
      </c>
      <c r="G75" s="317"/>
      <c r="H75" s="312"/>
      <c r="I75" s="312"/>
      <c r="J75" s="171" t="e">
        <f>E75/H75*100-100</f>
        <v>#DIV/0!</v>
      </c>
      <c r="K75" s="326">
        <f>E75</f>
        <v>69.76</v>
      </c>
      <c r="L75" s="326">
        <f>F75</f>
        <v>0</v>
      </c>
      <c r="M75" s="210">
        <f>MIN(E75,K75)</f>
        <v>69.76</v>
      </c>
      <c r="N75" s="209">
        <f>MIN(F75,L75)</f>
        <v>0</v>
      </c>
      <c r="O75" s="174" t="e">
        <f>M75/H75*100-100</f>
        <v>#DIV/0!</v>
      </c>
      <c r="P75" s="178">
        <f>ROUND(M75/E75*100,1)</f>
        <v>100</v>
      </c>
      <c r="Q75" s="178" t="e">
        <f>ROUND(N75/F75*100,1)</f>
        <v>#DIV/0!</v>
      </c>
    </row>
    <row r="76" spans="1:17" ht="12.75">
      <c r="A76" s="84"/>
      <c r="B76" s="315" t="s">
        <v>245</v>
      </c>
      <c r="C76" s="316" t="s">
        <v>246</v>
      </c>
      <c r="D76" s="313" t="s">
        <v>704</v>
      </c>
      <c r="E76" s="317">
        <f>калькуляция!AE91</f>
        <v>69.76</v>
      </c>
      <c r="F76" s="318">
        <f>калькуляция!BS91</f>
        <v>0</v>
      </c>
      <c r="G76" s="317"/>
      <c r="H76" s="312"/>
      <c r="I76" s="312"/>
      <c r="J76" s="171" t="e">
        <f>E76/H76*100-100</f>
        <v>#DIV/0!</v>
      </c>
      <c r="K76" s="326">
        <f>E76</f>
        <v>69.76</v>
      </c>
      <c r="L76" s="326">
        <f>F76</f>
        <v>0</v>
      </c>
      <c r="M76" s="210">
        <f>MIN(E76,K76)</f>
        <v>69.76</v>
      </c>
      <c r="N76" s="209">
        <f>MIN(F76,L76)</f>
        <v>0</v>
      </c>
      <c r="O76" s="174" t="e">
        <f>M76/H76*100-100</f>
        <v>#DIV/0!</v>
      </c>
      <c r="P76" s="178">
        <f>ROUND(M76/E76*100,1)</f>
        <v>100</v>
      </c>
      <c r="Q76" s="178" t="e">
        <f>ROUND(N76/F76*100,1)</f>
        <v>#DIV/0!</v>
      </c>
    </row>
    <row r="77" spans="1:17" ht="12.75">
      <c r="A77" s="24"/>
      <c r="B77" s="249"/>
      <c r="C77" s="265"/>
      <c r="D77" s="281"/>
      <c r="E77" s="208"/>
      <c r="F77" s="209"/>
      <c r="G77" s="208"/>
      <c r="H77" s="211"/>
      <c r="I77" s="211"/>
      <c r="J77" s="171"/>
      <c r="K77" s="210"/>
      <c r="L77" s="210"/>
      <c r="M77" s="210"/>
      <c r="N77" s="209"/>
      <c r="O77" s="174"/>
      <c r="P77" s="178"/>
      <c r="Q77" s="178"/>
    </row>
    <row r="78" spans="1:17" ht="12.75" customHeight="1">
      <c r="A78" s="24"/>
      <c r="B78" s="239" t="s">
        <v>692</v>
      </c>
      <c r="C78" s="272" t="s">
        <v>693</v>
      </c>
      <c r="D78" s="281"/>
      <c r="E78" s="208"/>
      <c r="F78" s="209"/>
      <c r="G78" s="208"/>
      <c r="H78" s="211"/>
      <c r="I78" s="211"/>
      <c r="J78" s="171"/>
      <c r="K78" s="210"/>
      <c r="L78" s="210"/>
      <c r="M78" s="210"/>
      <c r="N78" s="209"/>
      <c r="O78" s="174"/>
      <c r="P78" s="178"/>
      <c r="Q78" s="178"/>
    </row>
    <row r="79" spans="1:17" ht="12.75">
      <c r="A79" s="24"/>
      <c r="B79" s="233" t="s">
        <v>856</v>
      </c>
      <c r="C79" s="325" t="s">
        <v>857</v>
      </c>
      <c r="D79" s="281"/>
      <c r="E79" s="208"/>
      <c r="F79" s="209"/>
      <c r="G79" s="208"/>
      <c r="H79" s="211"/>
      <c r="I79" s="211"/>
      <c r="J79" s="171"/>
      <c r="K79" s="210"/>
      <c r="L79" s="210"/>
      <c r="M79" s="210"/>
      <c r="N79" s="209"/>
      <c r="O79" s="174"/>
      <c r="P79" s="178"/>
      <c r="Q79" s="178"/>
    </row>
    <row r="80" spans="1:17" ht="25.5">
      <c r="A80" s="24"/>
      <c r="B80" s="233" t="s">
        <v>858</v>
      </c>
      <c r="C80" s="359" t="s">
        <v>859</v>
      </c>
      <c r="D80" s="231"/>
      <c r="E80" s="208"/>
      <c r="F80" s="209"/>
      <c r="G80" s="208"/>
      <c r="H80" s="211"/>
      <c r="I80" s="211"/>
      <c r="J80" s="171"/>
      <c r="K80" s="210"/>
      <c r="L80" s="210"/>
      <c r="M80" s="210"/>
      <c r="N80" s="209"/>
      <c r="O80" s="174"/>
      <c r="P80" s="178"/>
      <c r="Q80" s="178"/>
    </row>
    <row r="81" spans="1:17" ht="12.75">
      <c r="A81" s="24"/>
      <c r="B81" s="235" t="str">
        <f>калькуляция!B96</f>
        <v>2.1.1.1.2.</v>
      </c>
      <c r="C81" s="358" t="str">
        <f>калькуляция!C96</f>
        <v>определение диоксида азота (СФМ, на сорбционные трубки)</v>
      </c>
      <c r="D81" s="231" t="str">
        <f>D96</f>
        <v>исследов.</v>
      </c>
      <c r="E81" s="208">
        <f>калькуляция!AL96</f>
        <v>13.549999999999999</v>
      </c>
      <c r="F81" s="209">
        <f>калькуляция!AN96</f>
        <v>7.170000000000001</v>
      </c>
      <c r="G81" s="208" t="s">
        <v>863</v>
      </c>
      <c r="H81" s="211">
        <v>3.17</v>
      </c>
      <c r="I81" s="211">
        <v>1.89</v>
      </c>
      <c r="J81" s="171">
        <f aca="true" t="shared" si="28" ref="J81:J93">E81/H81*100-100</f>
        <v>327.4447949526814</v>
      </c>
      <c r="K81" s="210">
        <f aca="true" t="shared" si="29" ref="K81:K93">ROUND(H81*$A$1,2)</f>
        <v>3.17</v>
      </c>
      <c r="L81" s="210">
        <f aca="true" t="shared" si="30" ref="L81:L93">ROUND(I81*$A$1,2)</f>
        <v>1.89</v>
      </c>
      <c r="M81" s="210">
        <f aca="true" t="shared" si="31" ref="M81:M93">MIN(E81,K81)</f>
        <v>3.17</v>
      </c>
      <c r="N81" s="209">
        <f aca="true" t="shared" si="32" ref="N81:N93">MIN(F81,L81)</f>
        <v>1.89</v>
      </c>
      <c r="O81" s="174">
        <f aca="true" t="shared" si="33" ref="O81:O92">M81/H81*100-100</f>
        <v>0</v>
      </c>
      <c r="P81" s="178">
        <f aca="true" t="shared" si="34" ref="P81:P92">ROUND(M81/E81*100,1)</f>
        <v>23.4</v>
      </c>
      <c r="Q81" s="178">
        <f aca="true" t="shared" si="35" ref="Q81:Q92">ROUND(N81/F81*100,1)</f>
        <v>26.4</v>
      </c>
    </row>
    <row r="82" spans="1:17" ht="12.75">
      <c r="A82" s="24"/>
      <c r="B82" s="235" t="str">
        <f>калькуляция!B97</f>
        <v>2.1.1.31.4.</v>
      </c>
      <c r="C82" s="358" t="str">
        <f>калькуляция!C97</f>
        <v>определение диоксида серы (СФМ с хлоридом бария)</v>
      </c>
      <c r="D82" s="231" t="str">
        <f aca="true" t="shared" si="36" ref="D82:D93">D81</f>
        <v>исследов.</v>
      </c>
      <c r="E82" s="208">
        <f>калькуляция!AL97</f>
        <v>9.96</v>
      </c>
      <c r="F82" s="209">
        <f>калькуляция!AN97</f>
        <v>6.4</v>
      </c>
      <c r="G82" s="208" t="s">
        <v>866</v>
      </c>
      <c r="H82" s="211">
        <v>2.85</v>
      </c>
      <c r="I82" s="211">
        <v>1.71</v>
      </c>
      <c r="J82" s="171">
        <f t="shared" si="28"/>
        <v>249.47368421052636</v>
      </c>
      <c r="K82" s="210">
        <f t="shared" si="29"/>
        <v>2.85</v>
      </c>
      <c r="L82" s="210">
        <f t="shared" si="30"/>
        <v>1.71</v>
      </c>
      <c r="M82" s="210">
        <f t="shared" si="31"/>
        <v>2.85</v>
      </c>
      <c r="N82" s="209">
        <f t="shared" si="32"/>
        <v>1.71</v>
      </c>
      <c r="O82" s="174">
        <f t="shared" si="33"/>
        <v>0</v>
      </c>
      <c r="P82" s="178">
        <f t="shared" si="34"/>
        <v>28.6</v>
      </c>
      <c r="Q82" s="178">
        <f t="shared" si="35"/>
        <v>26.7</v>
      </c>
    </row>
    <row r="83" spans="1:17" ht="12.75">
      <c r="A83" s="24"/>
      <c r="B83" s="235" t="str">
        <f>калькуляция!B98</f>
        <v>2.1.1.70</v>
      </c>
      <c r="C83" s="358" t="str">
        <f>калькуляция!C98</f>
        <v>определение пыли (взвешенных веществ) </v>
      </c>
      <c r="D83" s="231" t="str">
        <f t="shared" si="36"/>
        <v>исследов.</v>
      </c>
      <c r="E83" s="208">
        <f>калькуляция!AL98</f>
        <v>7.29</v>
      </c>
      <c r="F83" s="209">
        <f>калькуляция!AN98</f>
        <v>4.15</v>
      </c>
      <c r="G83" s="208" t="s">
        <v>869</v>
      </c>
      <c r="H83" s="211">
        <v>4.97</v>
      </c>
      <c r="I83" s="211">
        <v>2.49</v>
      </c>
      <c r="J83" s="171">
        <f t="shared" si="28"/>
        <v>46.68008048289741</v>
      </c>
      <c r="K83" s="210">
        <f t="shared" si="29"/>
        <v>4.97</v>
      </c>
      <c r="L83" s="210">
        <f t="shared" si="30"/>
        <v>2.49</v>
      </c>
      <c r="M83" s="210">
        <f t="shared" si="31"/>
        <v>4.97</v>
      </c>
      <c r="N83" s="209">
        <f t="shared" si="32"/>
        <v>2.49</v>
      </c>
      <c r="O83" s="174">
        <f t="shared" si="33"/>
        <v>0</v>
      </c>
      <c r="P83" s="178">
        <f t="shared" si="34"/>
        <v>68.2</v>
      </c>
      <c r="Q83" s="178">
        <f t="shared" si="35"/>
        <v>60</v>
      </c>
    </row>
    <row r="84" spans="1:17" ht="12.75">
      <c r="A84" s="24"/>
      <c r="B84" s="235" t="str">
        <f>калькуляция!B99</f>
        <v>2.1.1.87</v>
      </c>
      <c r="C84" s="358" t="str">
        <f>калькуляция!C99</f>
        <v>определение оксида углерода (электро-химический метод) </v>
      </c>
      <c r="D84" s="231" t="str">
        <f t="shared" si="36"/>
        <v>исследов.</v>
      </c>
      <c r="E84" s="208">
        <f>калькуляция!AL99</f>
        <v>4.41</v>
      </c>
      <c r="F84" s="209">
        <f>калькуляция!AN99</f>
        <v>1.78</v>
      </c>
      <c r="G84" s="208" t="s">
        <v>872</v>
      </c>
      <c r="H84" s="211">
        <v>3.74</v>
      </c>
      <c r="I84" s="211">
        <v>1.87</v>
      </c>
      <c r="J84" s="171">
        <f t="shared" si="28"/>
        <v>17.914438502673804</v>
      </c>
      <c r="K84" s="210">
        <f t="shared" si="29"/>
        <v>3.74</v>
      </c>
      <c r="L84" s="210">
        <f t="shared" si="30"/>
        <v>1.87</v>
      </c>
      <c r="M84" s="210">
        <f t="shared" si="31"/>
        <v>3.74</v>
      </c>
      <c r="N84" s="209">
        <f t="shared" si="32"/>
        <v>1.78</v>
      </c>
      <c r="O84" s="174">
        <f t="shared" si="33"/>
        <v>0</v>
      </c>
      <c r="P84" s="178">
        <f t="shared" si="34"/>
        <v>84.8</v>
      </c>
      <c r="Q84" s="178">
        <f t="shared" si="35"/>
        <v>100</v>
      </c>
    </row>
    <row r="85" spans="1:17" ht="118.5" customHeight="1">
      <c r="A85" s="24"/>
      <c r="B85" s="235" t="str">
        <f>калькуляция!B102</f>
        <v>2.1.2.199.</v>
      </c>
      <c r="C85" s="358" t="str">
        <f>калькуляция!C102</f>
        <v>экспресс-измерение электрохимическим детектором на газоанализаторе Колион-1В-02: аммиак; ацетон; бутан; бензин; бутилацетат; бензол; винилацетат; гексан; гептан; керосин; диэтиловый эфир; ксилол; метилацетат метилэтилкетон; нефрас; н-октан; пропилен; пентан; углеводороды нефти; стирол; толуол; тетрахлорэтилен; трихлорэтилен; уайт-спирит; хлорбензол; хлортолуол; этанол; циклогексан; этилен; этилацетат; этилбензол; оксид углерода; диэтиламин; сероуглерод; сероводород; (одно вещество)</v>
      </c>
      <c r="D85" s="231" t="str">
        <f t="shared" si="36"/>
        <v>исследов.</v>
      </c>
      <c r="E85" s="208">
        <f>калькуляция!AL102</f>
        <v>4.79</v>
      </c>
      <c r="F85" s="209">
        <f>калькуляция!AN102</f>
        <v>2.81</v>
      </c>
      <c r="G85" s="208" t="s">
        <v>872</v>
      </c>
      <c r="H85" s="211">
        <v>3.74</v>
      </c>
      <c r="I85" s="211">
        <v>1.87</v>
      </c>
      <c r="J85" s="171">
        <f t="shared" si="28"/>
        <v>28.074866310160417</v>
      </c>
      <c r="K85" s="210">
        <f t="shared" si="29"/>
        <v>3.74</v>
      </c>
      <c r="L85" s="210">
        <f t="shared" si="30"/>
        <v>1.87</v>
      </c>
      <c r="M85" s="210">
        <f t="shared" si="31"/>
        <v>3.74</v>
      </c>
      <c r="N85" s="209">
        <f t="shared" si="32"/>
        <v>1.87</v>
      </c>
      <c r="O85" s="174">
        <f t="shared" si="33"/>
        <v>0</v>
      </c>
      <c r="P85" s="178">
        <f t="shared" si="34"/>
        <v>78.1</v>
      </c>
      <c r="Q85" s="178">
        <f t="shared" si="35"/>
        <v>66.5</v>
      </c>
    </row>
    <row r="86" spans="1:17" ht="14.25" customHeight="1">
      <c r="A86" s="24"/>
      <c r="B86" s="235" t="str">
        <f>калькуляция!B103</f>
        <v>2.1.2.201</v>
      </c>
      <c r="C86" s="358" t="str">
        <f>калькуляция!C103</f>
        <v>оформление протокола результатов испытаний </v>
      </c>
      <c r="D86" s="231" t="str">
        <f t="shared" si="36"/>
        <v>исследов.</v>
      </c>
      <c r="E86" s="208">
        <f>калькуляция!AL103</f>
        <v>4.61</v>
      </c>
      <c r="F86" s="209">
        <f>калькуляция!AN103</f>
        <v>1.4000000000000001</v>
      </c>
      <c r="G86" s="208" t="s">
        <v>774</v>
      </c>
      <c r="H86" s="211">
        <v>3.19</v>
      </c>
      <c r="I86" s="211">
        <v>1.4</v>
      </c>
      <c r="J86" s="171">
        <f t="shared" si="28"/>
        <v>44.514106583072106</v>
      </c>
      <c r="K86" s="210">
        <f t="shared" si="29"/>
        <v>3.19</v>
      </c>
      <c r="L86" s="210">
        <f t="shared" si="30"/>
        <v>1.4</v>
      </c>
      <c r="M86" s="210">
        <f t="shared" si="31"/>
        <v>3.19</v>
      </c>
      <c r="N86" s="209">
        <f t="shared" si="32"/>
        <v>1.4</v>
      </c>
      <c r="O86" s="174">
        <f t="shared" si="33"/>
        <v>0</v>
      </c>
      <c r="P86" s="178">
        <f t="shared" si="34"/>
        <v>69.2</v>
      </c>
      <c r="Q86" s="178">
        <f t="shared" si="35"/>
        <v>100</v>
      </c>
    </row>
    <row r="87" spans="1:17" ht="14.25" customHeight="1">
      <c r="A87" s="24"/>
      <c r="B87" s="235" t="str">
        <f>калькуляция!B104</f>
        <v>2.1.2.202</v>
      </c>
      <c r="C87" s="358" t="str">
        <f>калькуляция!C104</f>
        <v>учет поступления образца в лабораторию </v>
      </c>
      <c r="D87" s="231" t="str">
        <f t="shared" si="36"/>
        <v>исследов.</v>
      </c>
      <c r="E87" s="208">
        <f>калькуляция!AL104</f>
        <v>2.02</v>
      </c>
      <c r="F87" s="209">
        <f>калькуляция!AN104</f>
        <v>1</v>
      </c>
      <c r="G87" s="208" t="s">
        <v>774</v>
      </c>
      <c r="H87" s="211">
        <v>3.19</v>
      </c>
      <c r="I87" s="211">
        <v>1</v>
      </c>
      <c r="J87" s="171">
        <f t="shared" si="28"/>
        <v>-36.677115987460816</v>
      </c>
      <c r="K87" s="210">
        <f t="shared" si="29"/>
        <v>3.19</v>
      </c>
      <c r="L87" s="210">
        <f t="shared" si="30"/>
        <v>1</v>
      </c>
      <c r="M87" s="210">
        <f t="shared" si="31"/>
        <v>2.02</v>
      </c>
      <c r="N87" s="209">
        <f t="shared" si="32"/>
        <v>1</v>
      </c>
      <c r="O87" s="174">
        <f t="shared" si="33"/>
        <v>-36.677115987460816</v>
      </c>
      <c r="P87" s="178">
        <f t="shared" si="34"/>
        <v>100</v>
      </c>
      <c r="Q87" s="178">
        <f t="shared" si="35"/>
        <v>100</v>
      </c>
    </row>
    <row r="88" spans="1:17" ht="14.25" customHeight="1">
      <c r="A88" s="24"/>
      <c r="B88" s="235" t="str">
        <f>калькуляция!B105</f>
        <v>2.1.2.14.2</v>
      </c>
      <c r="C88" s="358" t="str">
        <f>калькуляция!C105</f>
        <v>определение двуокиси серы (сернистый ангидрид) (СФМ, ФЭК)</v>
      </c>
      <c r="D88" s="231" t="str">
        <f t="shared" si="36"/>
        <v>исследов.</v>
      </c>
      <c r="E88" s="208">
        <f>калькуляция!AL105</f>
        <v>11.180000000000001</v>
      </c>
      <c r="F88" s="209">
        <f>калькуляция!AN105</f>
        <v>5.6000000000000005</v>
      </c>
      <c r="G88" s="208" t="s">
        <v>883</v>
      </c>
      <c r="H88" s="211">
        <v>1.93</v>
      </c>
      <c r="I88" s="211">
        <v>1.14</v>
      </c>
      <c r="J88" s="171">
        <f t="shared" si="28"/>
        <v>479.2746113989639</v>
      </c>
      <c r="K88" s="210">
        <f t="shared" si="29"/>
        <v>1.93</v>
      </c>
      <c r="L88" s="210">
        <f t="shared" si="30"/>
        <v>1.14</v>
      </c>
      <c r="M88" s="210">
        <f t="shared" si="31"/>
        <v>1.93</v>
      </c>
      <c r="N88" s="209">
        <f t="shared" si="32"/>
        <v>1.14</v>
      </c>
      <c r="O88" s="174">
        <f t="shared" si="33"/>
        <v>0</v>
      </c>
      <c r="P88" s="178">
        <f t="shared" si="34"/>
        <v>17.3</v>
      </c>
      <c r="Q88" s="178">
        <f t="shared" si="35"/>
        <v>20.4</v>
      </c>
    </row>
    <row r="89" spans="1:17" ht="14.25" customHeight="1">
      <c r="A89" s="24"/>
      <c r="B89" s="235" t="str">
        <f>калькуляция!B106</f>
        <v>2.1.2.23.1</v>
      </c>
      <c r="C89" s="358" t="str">
        <f>калькуляция!C106</f>
        <v>определение диоксида азота (СФМ, ФЭК)</v>
      </c>
      <c r="D89" s="231" t="str">
        <f t="shared" si="36"/>
        <v>исследов.</v>
      </c>
      <c r="E89" s="208">
        <f>калькуляция!AL106</f>
        <v>11.180000000000001</v>
      </c>
      <c r="F89" s="209">
        <f>калькуляция!AN106</f>
        <v>5.6000000000000005</v>
      </c>
      <c r="G89" s="208" t="s">
        <v>886</v>
      </c>
      <c r="H89" s="211">
        <v>2.72</v>
      </c>
      <c r="I89" s="211">
        <v>1.71</v>
      </c>
      <c r="J89" s="171">
        <f t="shared" si="28"/>
        <v>311.0294117647059</v>
      </c>
      <c r="K89" s="210">
        <f t="shared" si="29"/>
        <v>2.72</v>
      </c>
      <c r="L89" s="210">
        <f t="shared" si="30"/>
        <v>1.71</v>
      </c>
      <c r="M89" s="210">
        <f t="shared" si="31"/>
        <v>2.72</v>
      </c>
      <c r="N89" s="209">
        <f t="shared" si="32"/>
        <v>1.71</v>
      </c>
      <c r="O89" s="174">
        <f t="shared" si="33"/>
        <v>0</v>
      </c>
      <c r="P89" s="178">
        <f t="shared" si="34"/>
        <v>24.3</v>
      </c>
      <c r="Q89" s="178">
        <f t="shared" si="35"/>
        <v>30.5</v>
      </c>
    </row>
    <row r="90" spans="1:17" ht="14.25" customHeight="1">
      <c r="A90" s="24"/>
      <c r="B90" s="235" t="str">
        <f>калькуляция!B107</f>
        <v>2.1.2.25.1</v>
      </c>
      <c r="C90" s="358" t="str">
        <f>калькуляция!C107</f>
        <v>определение аммиака (СФМ, ФЭК)</v>
      </c>
      <c r="D90" s="231" t="str">
        <f t="shared" si="36"/>
        <v>исследов.</v>
      </c>
      <c r="E90" s="208">
        <f>калькуляция!AL107</f>
        <v>10.2</v>
      </c>
      <c r="F90" s="209">
        <f>калькуляция!AN107</f>
        <v>5.6000000000000005</v>
      </c>
      <c r="G90" s="208" t="s">
        <v>889</v>
      </c>
      <c r="H90" s="211">
        <v>2.4</v>
      </c>
      <c r="I90" s="211">
        <v>1.42</v>
      </c>
      <c r="J90" s="171">
        <f t="shared" si="28"/>
        <v>325</v>
      </c>
      <c r="K90" s="210">
        <f t="shared" si="29"/>
        <v>2.4</v>
      </c>
      <c r="L90" s="210">
        <f t="shared" si="30"/>
        <v>1.42</v>
      </c>
      <c r="M90" s="210">
        <f t="shared" si="31"/>
        <v>2.4</v>
      </c>
      <c r="N90" s="209">
        <f t="shared" si="32"/>
        <v>1.42</v>
      </c>
      <c r="O90" s="174">
        <f t="shared" si="33"/>
        <v>0</v>
      </c>
      <c r="P90" s="178">
        <f t="shared" si="34"/>
        <v>23.5</v>
      </c>
      <c r="Q90" s="178">
        <f t="shared" si="35"/>
        <v>25.4</v>
      </c>
    </row>
    <row r="91" spans="1:17" ht="14.25" customHeight="1">
      <c r="A91" s="24"/>
      <c r="B91" s="235" t="str">
        <f>калькуляция!B108</f>
        <v>2.1.2.54.2</v>
      </c>
      <c r="C91" s="358" t="str">
        <f>калькуляция!C108</f>
        <v>определение марганца (СФМ, ФЭК)</v>
      </c>
      <c r="D91" s="231" t="str">
        <f t="shared" si="36"/>
        <v>исследов.</v>
      </c>
      <c r="E91" s="208">
        <f>калькуляция!AL108</f>
        <v>9.61</v>
      </c>
      <c r="F91" s="209">
        <f>калькуляция!AN108</f>
        <v>3.79</v>
      </c>
      <c r="G91" s="208" t="s">
        <v>892</v>
      </c>
      <c r="H91" s="211">
        <v>2.36</v>
      </c>
      <c r="I91" s="211">
        <v>1.46</v>
      </c>
      <c r="J91" s="171">
        <f t="shared" si="28"/>
        <v>307.20338983050846</v>
      </c>
      <c r="K91" s="210">
        <f t="shared" si="29"/>
        <v>2.36</v>
      </c>
      <c r="L91" s="210">
        <f t="shared" si="30"/>
        <v>1.46</v>
      </c>
      <c r="M91" s="210">
        <f t="shared" si="31"/>
        <v>2.36</v>
      </c>
      <c r="N91" s="209">
        <f t="shared" si="32"/>
        <v>1.46</v>
      </c>
      <c r="O91" s="174">
        <f t="shared" si="33"/>
        <v>0</v>
      </c>
      <c r="P91" s="178">
        <f t="shared" si="34"/>
        <v>24.6</v>
      </c>
      <c r="Q91" s="178">
        <f t="shared" si="35"/>
        <v>38.5</v>
      </c>
    </row>
    <row r="92" spans="1:17" ht="14.25" customHeight="1">
      <c r="A92" s="24"/>
      <c r="B92" s="235" t="str">
        <f>калькуляция!B109</f>
        <v>2.1.2.56.1</v>
      </c>
      <c r="C92" s="358" t="str">
        <f>калькуляция!C109</f>
        <v>определение серной кислоты (СФМ, ФЭК)</v>
      </c>
      <c r="D92" s="231" t="str">
        <f t="shared" si="36"/>
        <v>исследов.</v>
      </c>
      <c r="E92" s="208">
        <f>калькуляция!AL109</f>
        <v>9.61</v>
      </c>
      <c r="F92" s="209">
        <f>калькуляция!AN109</f>
        <v>3.79</v>
      </c>
      <c r="G92" s="208" t="s">
        <v>895</v>
      </c>
      <c r="H92" s="211">
        <v>1.7</v>
      </c>
      <c r="I92" s="211">
        <v>0.98</v>
      </c>
      <c r="J92" s="171">
        <f t="shared" si="28"/>
        <v>465.2941176470588</v>
      </c>
      <c r="K92" s="210">
        <f t="shared" si="29"/>
        <v>1.7</v>
      </c>
      <c r="L92" s="210">
        <f t="shared" si="30"/>
        <v>0.98</v>
      </c>
      <c r="M92" s="210">
        <f t="shared" si="31"/>
        <v>1.7</v>
      </c>
      <c r="N92" s="209">
        <f t="shared" si="32"/>
        <v>0.98</v>
      </c>
      <c r="O92" s="174">
        <f t="shared" si="33"/>
        <v>0</v>
      </c>
      <c r="P92" s="178">
        <f t="shared" si="34"/>
        <v>17.7</v>
      </c>
      <c r="Q92" s="178">
        <f t="shared" si="35"/>
        <v>25.9</v>
      </c>
    </row>
    <row r="93" spans="1:17" ht="14.25" customHeight="1">
      <c r="A93" s="24"/>
      <c r="B93" s="235" t="str">
        <f>калькуляция!B110</f>
        <v>2.1.2.181.1</v>
      </c>
      <c r="C93" s="358" t="str">
        <f>калькуляция!C110</f>
        <v>измерение запыленности воздуха (гравиметрический метод)</v>
      </c>
      <c r="D93" s="231" t="str">
        <f t="shared" si="36"/>
        <v>исследов.</v>
      </c>
      <c r="E93" s="208">
        <f>калькуляция!AL110</f>
        <v>5.96</v>
      </c>
      <c r="F93" s="209">
        <f>калькуляция!AN110</f>
        <v>1.78</v>
      </c>
      <c r="G93" s="208" t="s">
        <v>898</v>
      </c>
      <c r="H93" s="211">
        <v>3.29</v>
      </c>
      <c r="I93" s="211">
        <v>1.78</v>
      </c>
      <c r="J93" s="171">
        <f t="shared" si="28"/>
        <v>81.15501519756839</v>
      </c>
      <c r="K93" s="210">
        <f t="shared" si="29"/>
        <v>3.29</v>
      </c>
      <c r="L93" s="210">
        <f t="shared" si="30"/>
        <v>1.78</v>
      </c>
      <c r="M93" s="210">
        <f t="shared" si="31"/>
        <v>3.29</v>
      </c>
      <c r="N93" s="209">
        <f t="shared" si="32"/>
        <v>1.78</v>
      </c>
      <c r="O93" s="174"/>
      <c r="P93" s="178"/>
      <c r="Q93" s="178"/>
    </row>
    <row r="94" spans="1:17" ht="12.75">
      <c r="A94" s="84"/>
      <c r="B94" s="233" t="s">
        <v>247</v>
      </c>
      <c r="C94" s="276" t="s">
        <v>248</v>
      </c>
      <c r="D94" s="281"/>
      <c r="E94" s="208"/>
      <c r="F94" s="209"/>
      <c r="G94" s="208"/>
      <c r="H94" s="211"/>
      <c r="I94" s="211"/>
      <c r="J94" s="171"/>
      <c r="K94" s="210"/>
      <c r="L94" s="210"/>
      <c r="M94" s="210"/>
      <c r="N94" s="209"/>
      <c r="O94" s="174"/>
      <c r="P94" s="178"/>
      <c r="Q94" s="178"/>
    </row>
    <row r="95" spans="1:17" ht="12.75" customHeight="1">
      <c r="A95" s="84"/>
      <c r="B95" s="233" t="s">
        <v>249</v>
      </c>
      <c r="C95" s="276" t="s">
        <v>250</v>
      </c>
      <c r="D95" s="281"/>
      <c r="E95" s="208"/>
      <c r="F95" s="209"/>
      <c r="G95" s="208"/>
      <c r="H95" s="211"/>
      <c r="I95" s="211"/>
      <c r="J95" s="171"/>
      <c r="K95" s="210"/>
      <c r="L95" s="210"/>
      <c r="M95" s="210"/>
      <c r="N95" s="209"/>
      <c r="O95" s="174"/>
      <c r="P95" s="178"/>
      <c r="Q95" s="178"/>
    </row>
    <row r="96" spans="1:17" ht="12.75">
      <c r="A96" s="84"/>
      <c r="B96" s="235" t="s">
        <v>251</v>
      </c>
      <c r="C96" s="279" t="s">
        <v>252</v>
      </c>
      <c r="D96" s="231" t="s">
        <v>54</v>
      </c>
      <c r="E96" s="208">
        <f>калькуляция!AE114</f>
        <v>3.6300000000000003</v>
      </c>
      <c r="F96" s="209">
        <f>калькуляция!BS114</f>
        <v>1.78</v>
      </c>
      <c r="G96" s="208" t="s">
        <v>752</v>
      </c>
      <c r="H96" s="211">
        <v>0.59</v>
      </c>
      <c r="I96" s="211">
        <v>0.31</v>
      </c>
      <c r="J96" s="171">
        <f aca="true" t="shared" si="37" ref="J96:J155">E96/H96*100-100</f>
        <v>515.2542372881356</v>
      </c>
      <c r="K96" s="210">
        <f>ROUND(H96*$A$1,2)</f>
        <v>0.59</v>
      </c>
      <c r="L96" s="210">
        <f>ROUND(I96*$A$1,2)</f>
        <v>0.31</v>
      </c>
      <c r="M96" s="210">
        <f>MIN(E96,K96)</f>
        <v>0.59</v>
      </c>
      <c r="N96" s="209">
        <f>MIN(F96,L96)</f>
        <v>0.31</v>
      </c>
      <c r="O96" s="174">
        <f aca="true" t="shared" si="38" ref="O96:O155">M96/H96*100-100</f>
        <v>0</v>
      </c>
      <c r="P96" s="178">
        <f aca="true" t="shared" si="39" ref="P96:P155">ROUND(M96/E96*100,1)</f>
        <v>16.3</v>
      </c>
      <c r="Q96" s="178">
        <f aca="true" t="shared" si="40" ref="Q96:Q155">ROUND(N96/F96*100,1)</f>
        <v>17.4</v>
      </c>
    </row>
    <row r="97" spans="1:17" ht="12.75">
      <c r="A97" s="84"/>
      <c r="B97" s="233" t="s">
        <v>253</v>
      </c>
      <c r="C97" s="276" t="s">
        <v>254</v>
      </c>
      <c r="D97" s="281"/>
      <c r="E97" s="208"/>
      <c r="F97" s="209"/>
      <c r="G97" s="208"/>
      <c r="H97" s="211"/>
      <c r="I97" s="211"/>
      <c r="J97" s="171"/>
      <c r="K97" s="210"/>
      <c r="L97" s="210"/>
      <c r="M97" s="210"/>
      <c r="N97" s="209"/>
      <c r="O97" s="174"/>
      <c r="P97" s="178"/>
      <c r="Q97" s="178"/>
    </row>
    <row r="98" spans="1:17" ht="32.25" customHeight="1">
      <c r="A98" s="84"/>
      <c r="B98" s="235" t="s">
        <v>257</v>
      </c>
      <c r="C98" s="279" t="s">
        <v>258</v>
      </c>
      <c r="D98" s="231" t="s">
        <v>54</v>
      </c>
      <c r="E98" s="208">
        <f>калькуляция!AE116</f>
        <v>5.17</v>
      </c>
      <c r="F98" s="209">
        <f>калькуляция!BS116</f>
        <v>2.5999999999999996</v>
      </c>
      <c r="G98" s="208" t="s">
        <v>753</v>
      </c>
      <c r="H98" s="312">
        <v>1.08</v>
      </c>
      <c r="I98" s="312">
        <v>0.83</v>
      </c>
      <c r="J98" s="171">
        <f t="shared" si="37"/>
        <v>378.70370370370364</v>
      </c>
      <c r="K98" s="210">
        <f aca="true" t="shared" si="41" ref="K98:L100">ROUND(H98*$A$1,2)</f>
        <v>1.08</v>
      </c>
      <c r="L98" s="210">
        <f t="shared" si="41"/>
        <v>0.83</v>
      </c>
      <c r="M98" s="210">
        <f aca="true" t="shared" si="42" ref="M98:N100">MIN(E98,K98)</f>
        <v>1.08</v>
      </c>
      <c r="N98" s="209">
        <f t="shared" si="42"/>
        <v>0.83</v>
      </c>
      <c r="O98" s="174">
        <f t="shared" si="38"/>
        <v>0</v>
      </c>
      <c r="P98" s="178">
        <f t="shared" si="39"/>
        <v>20.9</v>
      </c>
      <c r="Q98" s="178">
        <f t="shared" si="40"/>
        <v>31.9</v>
      </c>
    </row>
    <row r="99" spans="1:17" ht="12.75">
      <c r="A99" s="84"/>
      <c r="B99" s="235" t="s">
        <v>259</v>
      </c>
      <c r="C99" s="279" t="s">
        <v>260</v>
      </c>
      <c r="D99" s="231" t="s">
        <v>54</v>
      </c>
      <c r="E99" s="208">
        <f>калькуляция!AE117</f>
        <v>5.17</v>
      </c>
      <c r="F99" s="209">
        <f>калькуляция!BS117</f>
        <v>2.5999999999999996</v>
      </c>
      <c r="G99" s="208" t="s">
        <v>754</v>
      </c>
      <c r="H99" s="211">
        <v>0.59</v>
      </c>
      <c r="I99" s="211">
        <v>0.31</v>
      </c>
      <c r="J99" s="171">
        <f t="shared" si="37"/>
        <v>776.271186440678</v>
      </c>
      <c r="K99" s="210">
        <f t="shared" si="41"/>
        <v>0.59</v>
      </c>
      <c r="L99" s="210">
        <f t="shared" si="41"/>
        <v>0.31</v>
      </c>
      <c r="M99" s="210">
        <f t="shared" si="42"/>
        <v>0.59</v>
      </c>
      <c r="N99" s="209">
        <f t="shared" si="42"/>
        <v>0.31</v>
      </c>
      <c r="O99" s="174">
        <f t="shared" si="38"/>
        <v>0</v>
      </c>
      <c r="P99" s="178">
        <f t="shared" si="39"/>
        <v>11.4</v>
      </c>
      <c r="Q99" s="178">
        <f t="shared" si="40"/>
        <v>11.9</v>
      </c>
    </row>
    <row r="100" spans="1:17" ht="12.75">
      <c r="A100" s="84"/>
      <c r="B100" s="235" t="s">
        <v>261</v>
      </c>
      <c r="C100" s="279" t="s">
        <v>262</v>
      </c>
      <c r="D100" s="231" t="s">
        <v>54</v>
      </c>
      <c r="E100" s="208">
        <f>калькуляция!AE118</f>
        <v>5.17</v>
      </c>
      <c r="F100" s="209">
        <f>калькуляция!BS118</f>
        <v>2.5999999999999996</v>
      </c>
      <c r="G100" s="208" t="s">
        <v>755</v>
      </c>
      <c r="H100" s="211">
        <v>0.39</v>
      </c>
      <c r="I100" s="211">
        <v>0.2</v>
      </c>
      <c r="J100" s="171">
        <f t="shared" si="37"/>
        <v>1225.6410256410256</v>
      </c>
      <c r="K100" s="210">
        <f t="shared" si="41"/>
        <v>0.39</v>
      </c>
      <c r="L100" s="210">
        <f t="shared" si="41"/>
        <v>0.2</v>
      </c>
      <c r="M100" s="210">
        <f t="shared" si="42"/>
        <v>0.39</v>
      </c>
      <c r="N100" s="209">
        <f t="shared" si="42"/>
        <v>0.2</v>
      </c>
      <c r="O100" s="174">
        <f t="shared" si="38"/>
        <v>0</v>
      </c>
      <c r="P100" s="178">
        <f t="shared" si="39"/>
        <v>7.5</v>
      </c>
      <c r="Q100" s="178">
        <f t="shared" si="40"/>
        <v>7.7</v>
      </c>
    </row>
    <row r="101" spans="1:17" ht="12.75">
      <c r="A101" s="84"/>
      <c r="B101" s="233" t="s">
        <v>263</v>
      </c>
      <c r="C101" s="276" t="s">
        <v>264</v>
      </c>
      <c r="D101" s="281"/>
      <c r="E101" s="208"/>
      <c r="F101" s="209"/>
      <c r="G101" s="208"/>
      <c r="H101" s="211"/>
      <c r="I101" s="211"/>
      <c r="J101" s="171"/>
      <c r="K101" s="210"/>
      <c r="L101" s="210"/>
      <c r="M101" s="210"/>
      <c r="N101" s="209"/>
      <c r="O101" s="174"/>
      <c r="P101" s="178"/>
      <c r="Q101" s="178"/>
    </row>
    <row r="102" spans="1:17" ht="19.5" customHeight="1">
      <c r="A102" s="84"/>
      <c r="B102" s="235" t="s">
        <v>265</v>
      </c>
      <c r="C102" s="279" t="s">
        <v>266</v>
      </c>
      <c r="D102" s="231" t="s">
        <v>54</v>
      </c>
      <c r="E102" s="208">
        <f>калькуляция!AE120</f>
        <v>5.17</v>
      </c>
      <c r="F102" s="209">
        <f>калькуляция!BS120</f>
        <v>2.5999999999999996</v>
      </c>
      <c r="G102" s="208" t="s">
        <v>756</v>
      </c>
      <c r="H102" s="211">
        <v>0.59</v>
      </c>
      <c r="I102" s="211">
        <v>0.31</v>
      </c>
      <c r="J102" s="171">
        <f t="shared" si="37"/>
        <v>776.271186440678</v>
      </c>
      <c r="K102" s="210">
        <f>ROUND(H102*$A$1,2)</f>
        <v>0.59</v>
      </c>
      <c r="L102" s="210">
        <f>ROUND(I102*$A$1,2)</f>
        <v>0.31</v>
      </c>
      <c r="M102" s="210">
        <f aca="true" t="shared" si="43" ref="M102:N109">MIN(E102,K102)</f>
        <v>0.59</v>
      </c>
      <c r="N102" s="209">
        <f t="shared" si="43"/>
        <v>0.31</v>
      </c>
      <c r="O102" s="174">
        <f t="shared" si="38"/>
        <v>0</v>
      </c>
      <c r="P102" s="178">
        <f t="shared" si="39"/>
        <v>11.4</v>
      </c>
      <c r="Q102" s="178">
        <f t="shared" si="40"/>
        <v>11.9</v>
      </c>
    </row>
    <row r="103" spans="1:17" ht="21.75" customHeight="1">
      <c r="A103" s="84"/>
      <c r="B103" s="235" t="s">
        <v>267</v>
      </c>
      <c r="C103" s="279" t="s">
        <v>268</v>
      </c>
      <c r="D103" s="231" t="s">
        <v>54</v>
      </c>
      <c r="E103" s="208">
        <f>калькуляция!AE121</f>
        <v>5.17</v>
      </c>
      <c r="F103" s="209">
        <f>калькуляция!BS121</f>
        <v>2.5999999999999996</v>
      </c>
      <c r="G103" s="208" t="s">
        <v>757</v>
      </c>
      <c r="H103" s="211">
        <v>0.38</v>
      </c>
      <c r="I103" s="211">
        <v>0.2</v>
      </c>
      <c r="J103" s="171">
        <f t="shared" si="37"/>
        <v>1260.5263157894735</v>
      </c>
      <c r="K103" s="210">
        <f>ROUND(H103*$A$1,2)</f>
        <v>0.38</v>
      </c>
      <c r="L103" s="210">
        <f>ROUND(I103*$A$1,2)</f>
        <v>0.2</v>
      </c>
      <c r="M103" s="210">
        <f t="shared" si="43"/>
        <v>0.38</v>
      </c>
      <c r="N103" s="209">
        <f t="shared" si="43"/>
        <v>0.2</v>
      </c>
      <c r="O103" s="174">
        <f t="shared" si="38"/>
        <v>0</v>
      </c>
      <c r="P103" s="178">
        <f t="shared" si="39"/>
        <v>7.4</v>
      </c>
      <c r="Q103" s="178">
        <f t="shared" si="40"/>
        <v>7.7</v>
      </c>
    </row>
    <row r="104" spans="1:17" ht="21.75" customHeight="1">
      <c r="A104" s="84"/>
      <c r="B104" s="235" t="s">
        <v>269</v>
      </c>
      <c r="C104" s="279" t="s">
        <v>270</v>
      </c>
      <c r="D104" s="231" t="s">
        <v>54</v>
      </c>
      <c r="E104" s="208">
        <f>калькуляция!AE122</f>
        <v>5.17</v>
      </c>
      <c r="F104" s="209">
        <f>калькуляция!BS122</f>
        <v>2.5999999999999996</v>
      </c>
      <c r="G104" s="208"/>
      <c r="H104" s="211"/>
      <c r="I104" s="211"/>
      <c r="J104" s="171" t="e">
        <f t="shared" si="37"/>
        <v>#DIV/0!</v>
      </c>
      <c r="K104" s="326">
        <f>E104</f>
        <v>5.17</v>
      </c>
      <c r="L104" s="326">
        <f>F104</f>
        <v>2.5999999999999996</v>
      </c>
      <c r="M104" s="210">
        <f t="shared" si="43"/>
        <v>5.17</v>
      </c>
      <c r="N104" s="209">
        <f t="shared" si="43"/>
        <v>2.5999999999999996</v>
      </c>
      <c r="O104" s="174" t="e">
        <f t="shared" si="38"/>
        <v>#DIV/0!</v>
      </c>
      <c r="P104" s="178">
        <f t="shared" si="39"/>
        <v>100</v>
      </c>
      <c r="Q104" s="178">
        <f t="shared" si="40"/>
        <v>100</v>
      </c>
    </row>
    <row r="105" spans="1:17" ht="12.75">
      <c r="A105" s="84"/>
      <c r="B105" s="235" t="s">
        <v>271</v>
      </c>
      <c r="C105" s="279" t="s">
        <v>272</v>
      </c>
      <c r="D105" s="231" t="s">
        <v>54</v>
      </c>
      <c r="E105" s="208">
        <f>калькуляция!AE123</f>
        <v>7.57</v>
      </c>
      <c r="F105" s="209">
        <f>калькуляция!BS123</f>
        <v>5.17</v>
      </c>
      <c r="G105" s="208" t="s">
        <v>758</v>
      </c>
      <c r="H105" s="211">
        <v>1.09</v>
      </c>
      <c r="I105" s="211">
        <v>0.56</v>
      </c>
      <c r="J105" s="171">
        <f t="shared" si="37"/>
        <v>594.4954128440367</v>
      </c>
      <c r="K105" s="210">
        <f aca="true" t="shared" si="44" ref="K105:L109">ROUND(H105*$A$1,2)</f>
        <v>1.09</v>
      </c>
      <c r="L105" s="210">
        <f t="shared" si="44"/>
        <v>0.56</v>
      </c>
      <c r="M105" s="210">
        <f t="shared" si="43"/>
        <v>1.09</v>
      </c>
      <c r="N105" s="209">
        <f t="shared" si="43"/>
        <v>0.56</v>
      </c>
      <c r="O105" s="174">
        <f t="shared" si="38"/>
        <v>0</v>
      </c>
      <c r="P105" s="178">
        <f t="shared" si="39"/>
        <v>14.4</v>
      </c>
      <c r="Q105" s="178">
        <f t="shared" si="40"/>
        <v>10.8</v>
      </c>
    </row>
    <row r="106" spans="1:17" ht="18.75" customHeight="1">
      <c r="A106" s="84"/>
      <c r="B106" s="235" t="s">
        <v>273</v>
      </c>
      <c r="C106" s="279" t="s">
        <v>274</v>
      </c>
      <c r="D106" s="231" t="s">
        <v>54</v>
      </c>
      <c r="E106" s="208">
        <f>калькуляция!AE124</f>
        <v>5.17</v>
      </c>
      <c r="F106" s="209">
        <f>калькуляция!BS124</f>
        <v>2.5999999999999996</v>
      </c>
      <c r="G106" s="208" t="s">
        <v>759</v>
      </c>
      <c r="H106" s="211">
        <v>0.39</v>
      </c>
      <c r="I106" s="211">
        <v>0.2</v>
      </c>
      <c r="J106" s="171">
        <f t="shared" si="37"/>
        <v>1225.6410256410256</v>
      </c>
      <c r="K106" s="210">
        <f t="shared" si="44"/>
        <v>0.39</v>
      </c>
      <c r="L106" s="210">
        <f t="shared" si="44"/>
        <v>0.2</v>
      </c>
      <c r="M106" s="210">
        <f t="shared" si="43"/>
        <v>0.39</v>
      </c>
      <c r="N106" s="209">
        <f t="shared" si="43"/>
        <v>0.2</v>
      </c>
      <c r="O106" s="174">
        <f t="shared" si="38"/>
        <v>0</v>
      </c>
      <c r="P106" s="178">
        <f t="shared" si="39"/>
        <v>7.5</v>
      </c>
      <c r="Q106" s="178">
        <f t="shared" si="40"/>
        <v>7.7</v>
      </c>
    </row>
    <row r="107" spans="1:17" ht="24" customHeight="1">
      <c r="A107" s="84"/>
      <c r="B107" s="235" t="s">
        <v>275</v>
      </c>
      <c r="C107" s="279" t="s">
        <v>276</v>
      </c>
      <c r="D107" s="231" t="s">
        <v>54</v>
      </c>
      <c r="E107" s="208">
        <f>калькуляция!AE125</f>
        <v>6.169999999999999</v>
      </c>
      <c r="F107" s="209">
        <f>калькуляция!BS125</f>
        <v>3.6300000000000003</v>
      </c>
      <c r="G107" s="211" t="s">
        <v>760</v>
      </c>
      <c r="H107" s="211">
        <v>0.59</v>
      </c>
      <c r="I107" s="211">
        <v>0.31</v>
      </c>
      <c r="J107" s="171">
        <f t="shared" si="37"/>
        <v>945.7627118644068</v>
      </c>
      <c r="K107" s="210">
        <f t="shared" si="44"/>
        <v>0.59</v>
      </c>
      <c r="L107" s="210">
        <f t="shared" si="44"/>
        <v>0.31</v>
      </c>
      <c r="M107" s="210">
        <f t="shared" si="43"/>
        <v>0.59</v>
      </c>
      <c r="N107" s="209">
        <f t="shared" si="43"/>
        <v>0.31</v>
      </c>
      <c r="O107" s="174">
        <f t="shared" si="38"/>
        <v>0</v>
      </c>
      <c r="P107" s="178">
        <f t="shared" si="39"/>
        <v>9.6</v>
      </c>
      <c r="Q107" s="178">
        <f t="shared" si="40"/>
        <v>8.5</v>
      </c>
    </row>
    <row r="108" spans="1:17" ht="12.75">
      <c r="A108" s="84"/>
      <c r="B108" s="235" t="s">
        <v>277</v>
      </c>
      <c r="C108" s="279" t="s">
        <v>278</v>
      </c>
      <c r="D108" s="231" t="s">
        <v>54</v>
      </c>
      <c r="E108" s="208">
        <f>калькуляция!AE126</f>
        <v>6.169999999999999</v>
      </c>
      <c r="F108" s="209">
        <f>калькуляция!BS126</f>
        <v>3.6300000000000003</v>
      </c>
      <c r="G108" s="208" t="s">
        <v>761</v>
      </c>
      <c r="H108" s="211">
        <v>0.59</v>
      </c>
      <c r="I108" s="211">
        <v>0.31</v>
      </c>
      <c r="J108" s="171">
        <f t="shared" si="37"/>
        <v>945.7627118644068</v>
      </c>
      <c r="K108" s="210">
        <f t="shared" si="44"/>
        <v>0.59</v>
      </c>
      <c r="L108" s="210">
        <f t="shared" si="44"/>
        <v>0.31</v>
      </c>
      <c r="M108" s="210">
        <f t="shared" si="43"/>
        <v>0.59</v>
      </c>
      <c r="N108" s="209">
        <f t="shared" si="43"/>
        <v>0.31</v>
      </c>
      <c r="O108" s="174">
        <f t="shared" si="38"/>
        <v>0</v>
      </c>
      <c r="P108" s="178">
        <f t="shared" si="39"/>
        <v>9.6</v>
      </c>
      <c r="Q108" s="178">
        <f t="shared" si="40"/>
        <v>8.5</v>
      </c>
    </row>
    <row r="109" spans="1:17" ht="12.75">
      <c r="A109" s="84"/>
      <c r="B109" s="235" t="s">
        <v>279</v>
      </c>
      <c r="C109" s="279" t="s">
        <v>280</v>
      </c>
      <c r="D109" s="231" t="s">
        <v>54</v>
      </c>
      <c r="E109" s="208">
        <f>калькуляция!AE127</f>
        <v>6.169999999999999</v>
      </c>
      <c r="F109" s="209">
        <f>калькуляция!BS127</f>
        <v>3.6300000000000003</v>
      </c>
      <c r="G109" s="208" t="s">
        <v>762</v>
      </c>
      <c r="H109" s="211">
        <v>0.81</v>
      </c>
      <c r="I109" s="211">
        <v>0.39</v>
      </c>
      <c r="J109" s="171">
        <f t="shared" si="37"/>
        <v>661.7283950617282</v>
      </c>
      <c r="K109" s="210">
        <f t="shared" si="44"/>
        <v>0.81</v>
      </c>
      <c r="L109" s="210">
        <f t="shared" si="44"/>
        <v>0.39</v>
      </c>
      <c r="M109" s="210">
        <f t="shared" si="43"/>
        <v>0.81</v>
      </c>
      <c r="N109" s="209">
        <f t="shared" si="43"/>
        <v>0.39</v>
      </c>
      <c r="O109" s="174">
        <f t="shared" si="38"/>
        <v>0</v>
      </c>
      <c r="P109" s="178">
        <f t="shared" si="39"/>
        <v>13.1</v>
      </c>
      <c r="Q109" s="178">
        <f t="shared" si="40"/>
        <v>10.7</v>
      </c>
    </row>
    <row r="110" spans="1:17" ht="19.5" customHeight="1">
      <c r="A110" s="84"/>
      <c r="B110" s="233" t="s">
        <v>281</v>
      </c>
      <c r="C110" s="276" t="s">
        <v>282</v>
      </c>
      <c r="D110" s="281"/>
      <c r="E110" s="208"/>
      <c r="F110" s="209"/>
      <c r="G110" s="208"/>
      <c r="H110" s="211"/>
      <c r="I110" s="211"/>
      <c r="J110" s="171"/>
      <c r="K110" s="210"/>
      <c r="L110" s="210"/>
      <c r="M110" s="210"/>
      <c r="N110" s="209"/>
      <c r="O110" s="174"/>
      <c r="P110" s="178"/>
      <c r="Q110" s="178"/>
    </row>
    <row r="111" spans="1:17" ht="20.25" customHeight="1">
      <c r="A111" s="84"/>
      <c r="B111" s="235" t="s">
        <v>283</v>
      </c>
      <c r="C111" s="279" t="s">
        <v>284</v>
      </c>
      <c r="D111" s="231" t="s">
        <v>54</v>
      </c>
      <c r="E111" s="208">
        <f>калькуляция!AE129</f>
        <v>6.169999999999999</v>
      </c>
      <c r="F111" s="209">
        <f>калькуляция!BS129</f>
        <v>3.6300000000000003</v>
      </c>
      <c r="G111" s="208" t="s">
        <v>763</v>
      </c>
      <c r="H111" s="211">
        <v>0.59</v>
      </c>
      <c r="I111" s="211">
        <v>0.31</v>
      </c>
      <c r="J111" s="171">
        <f t="shared" si="37"/>
        <v>945.7627118644068</v>
      </c>
      <c r="K111" s="210">
        <f>ROUND(H111*$A$1,2)</f>
        <v>0.59</v>
      </c>
      <c r="L111" s="210">
        <f>ROUND(I111*$A$1,2)</f>
        <v>0.31</v>
      </c>
      <c r="M111" s="210">
        <f>MIN(E111,K111)</f>
        <v>0.59</v>
      </c>
      <c r="N111" s="209">
        <f>MIN(F111,L111)</f>
        <v>0.31</v>
      </c>
      <c r="O111" s="174">
        <f t="shared" si="38"/>
        <v>0</v>
      </c>
      <c r="P111" s="178">
        <f t="shared" si="39"/>
        <v>9.6</v>
      </c>
      <c r="Q111" s="178">
        <f t="shared" si="40"/>
        <v>8.5</v>
      </c>
    </row>
    <row r="112" spans="1:17" ht="17.25" customHeight="1">
      <c r="A112" s="84"/>
      <c r="B112" s="233" t="s">
        <v>285</v>
      </c>
      <c r="C112" s="276" t="s">
        <v>286</v>
      </c>
      <c r="D112" s="281"/>
      <c r="E112" s="208"/>
      <c r="F112" s="209"/>
      <c r="G112" s="208"/>
      <c r="H112" s="211"/>
      <c r="I112" s="211"/>
      <c r="J112" s="171"/>
      <c r="K112" s="210"/>
      <c r="L112" s="210"/>
      <c r="M112" s="210"/>
      <c r="N112" s="209"/>
      <c r="O112" s="174"/>
      <c r="P112" s="178"/>
      <c r="Q112" s="178"/>
    </row>
    <row r="113" spans="1:17" ht="18.75" customHeight="1">
      <c r="A113" s="84"/>
      <c r="B113" s="235" t="s">
        <v>287</v>
      </c>
      <c r="C113" s="279" t="s">
        <v>288</v>
      </c>
      <c r="D113" s="231" t="s">
        <v>54</v>
      </c>
      <c r="E113" s="208">
        <f>калькуляция!AE131</f>
        <v>6.169999999999999</v>
      </c>
      <c r="F113" s="209">
        <f>калькуляция!BS131</f>
        <v>3.6300000000000003</v>
      </c>
      <c r="G113" s="208" t="s">
        <v>764</v>
      </c>
      <c r="H113" s="211">
        <v>0.9</v>
      </c>
      <c r="I113" s="211">
        <v>0.46</v>
      </c>
      <c r="J113" s="171">
        <f t="shared" si="37"/>
        <v>585.5555555555554</v>
      </c>
      <c r="K113" s="210">
        <f>ROUND(H113*$A$1,2)</f>
        <v>0.9</v>
      </c>
      <c r="L113" s="210">
        <f>ROUND(I113*$A$1,2)</f>
        <v>0.46</v>
      </c>
      <c r="M113" s="210">
        <f>MIN(E113,K113)</f>
        <v>0.9</v>
      </c>
      <c r="N113" s="209">
        <f>MIN(F113,L113)</f>
        <v>0.46</v>
      </c>
      <c r="O113" s="174">
        <f t="shared" si="38"/>
        <v>0</v>
      </c>
      <c r="P113" s="178">
        <f t="shared" si="39"/>
        <v>14.6</v>
      </c>
      <c r="Q113" s="178">
        <f t="shared" si="40"/>
        <v>12.7</v>
      </c>
    </row>
    <row r="114" spans="1:17" ht="21.75" customHeight="1">
      <c r="A114" s="84"/>
      <c r="B114" s="233" t="s">
        <v>289</v>
      </c>
      <c r="C114" s="276" t="s">
        <v>290</v>
      </c>
      <c r="D114" s="281"/>
      <c r="E114" s="208"/>
      <c r="F114" s="209"/>
      <c r="G114" s="208"/>
      <c r="H114" s="211"/>
      <c r="I114" s="211"/>
      <c r="J114" s="171"/>
      <c r="K114" s="210"/>
      <c r="L114" s="210"/>
      <c r="M114" s="210"/>
      <c r="N114" s="209"/>
      <c r="O114" s="174"/>
      <c r="P114" s="178"/>
      <c r="Q114" s="178"/>
    </row>
    <row r="115" spans="1:17" ht="18.75" customHeight="1">
      <c r="A115" s="84"/>
      <c r="B115" s="235" t="s">
        <v>291</v>
      </c>
      <c r="C115" s="279" t="s">
        <v>292</v>
      </c>
      <c r="D115" s="231" t="s">
        <v>54</v>
      </c>
      <c r="E115" s="208">
        <f>калькуляция!AE133</f>
        <v>6.169999999999999</v>
      </c>
      <c r="F115" s="209">
        <f>калькуляция!BS133</f>
        <v>3.6300000000000003</v>
      </c>
      <c r="G115" s="208" t="s">
        <v>765</v>
      </c>
      <c r="H115" s="211">
        <v>0.59</v>
      </c>
      <c r="I115" s="211">
        <v>0.31</v>
      </c>
      <c r="J115" s="171">
        <f t="shared" si="37"/>
        <v>945.7627118644068</v>
      </c>
      <c r="K115" s="210">
        <f>ROUND(H115*$A$1,2)</f>
        <v>0.59</v>
      </c>
      <c r="L115" s="210">
        <f>ROUND(I115*$A$1,2)</f>
        <v>0.31</v>
      </c>
      <c r="M115" s="210">
        <f>MIN(E115,K115)</f>
        <v>0.59</v>
      </c>
      <c r="N115" s="209">
        <f>MIN(F115,L115)</f>
        <v>0.31</v>
      </c>
      <c r="O115" s="174">
        <f t="shared" si="38"/>
        <v>0</v>
      </c>
      <c r="P115" s="178">
        <f t="shared" si="39"/>
        <v>9.6</v>
      </c>
      <c r="Q115" s="178">
        <f t="shared" si="40"/>
        <v>8.5</v>
      </c>
    </row>
    <row r="116" spans="1:17" ht="18.75" customHeight="1">
      <c r="A116" s="24"/>
      <c r="B116" s="233" t="s">
        <v>293</v>
      </c>
      <c r="C116" s="276" t="s">
        <v>294</v>
      </c>
      <c r="D116" s="281"/>
      <c r="E116" s="208"/>
      <c r="F116" s="209"/>
      <c r="G116" s="208"/>
      <c r="H116" s="211"/>
      <c r="I116" s="211"/>
      <c r="J116" s="171"/>
      <c r="K116" s="210"/>
      <c r="L116" s="210"/>
      <c r="M116" s="210"/>
      <c r="N116" s="209"/>
      <c r="O116" s="174"/>
      <c r="P116" s="178"/>
      <c r="Q116" s="178"/>
    </row>
    <row r="117" spans="1:17" ht="15.75" customHeight="1">
      <c r="A117" s="24"/>
      <c r="B117" s="235" t="s">
        <v>295</v>
      </c>
      <c r="C117" s="279" t="s">
        <v>296</v>
      </c>
      <c r="D117" s="231" t="s">
        <v>54</v>
      </c>
      <c r="E117" s="208">
        <f>калькуляция!AE135</f>
        <v>6.169999999999999</v>
      </c>
      <c r="F117" s="209">
        <f>калькуляция!BS135</f>
        <v>3.6300000000000003</v>
      </c>
      <c r="G117" s="208" t="s">
        <v>766</v>
      </c>
      <c r="H117" s="211">
        <v>0.75</v>
      </c>
      <c r="I117" s="211">
        <v>0.37</v>
      </c>
      <c r="J117" s="171">
        <f t="shared" si="37"/>
        <v>722.6666666666665</v>
      </c>
      <c r="K117" s="210">
        <f>ROUND(H117*$A$1,2)</f>
        <v>0.75</v>
      </c>
      <c r="L117" s="210">
        <f>ROUND(I117*$A$1,2)</f>
        <v>0.37</v>
      </c>
      <c r="M117" s="210">
        <f>MIN(E117,K117)</f>
        <v>0.75</v>
      </c>
      <c r="N117" s="209">
        <f>MIN(F117,L117)</f>
        <v>0.37</v>
      </c>
      <c r="O117" s="174">
        <f t="shared" si="38"/>
        <v>0</v>
      </c>
      <c r="P117" s="178">
        <f t="shared" si="39"/>
        <v>12.2</v>
      </c>
      <c r="Q117" s="178">
        <f t="shared" si="40"/>
        <v>10.2</v>
      </c>
    </row>
    <row r="118" spans="1:17" ht="19.5" customHeight="1">
      <c r="A118" s="24"/>
      <c r="B118" s="233" t="s">
        <v>297</v>
      </c>
      <c r="C118" s="276" t="s">
        <v>298</v>
      </c>
      <c r="D118" s="281"/>
      <c r="E118" s="208"/>
      <c r="F118" s="209"/>
      <c r="G118" s="208"/>
      <c r="H118" s="211"/>
      <c r="I118" s="211"/>
      <c r="J118" s="171"/>
      <c r="K118" s="210"/>
      <c r="L118" s="210"/>
      <c r="M118" s="210"/>
      <c r="N118" s="209"/>
      <c r="O118" s="174"/>
      <c r="P118" s="178"/>
      <c r="Q118" s="178"/>
    </row>
    <row r="119" spans="1:17" ht="18" customHeight="1">
      <c r="A119" s="24"/>
      <c r="B119" s="235" t="s">
        <v>899</v>
      </c>
      <c r="C119" s="279" t="s">
        <v>900</v>
      </c>
      <c r="D119" s="231" t="s">
        <v>54</v>
      </c>
      <c r="E119" s="208">
        <f>калькуляция!AE137</f>
        <v>5.17</v>
      </c>
      <c r="F119" s="209">
        <f>калькуляция!BS137</f>
        <v>2.5999999999999996</v>
      </c>
      <c r="G119" s="208" t="s">
        <v>901</v>
      </c>
      <c r="H119" s="211">
        <v>5.17</v>
      </c>
      <c r="I119" s="211">
        <v>2.6</v>
      </c>
      <c r="J119" s="171">
        <f t="shared" si="37"/>
        <v>0</v>
      </c>
      <c r="K119" s="210">
        <f>ROUND(H119*$A$1,2)</f>
        <v>5.17</v>
      </c>
      <c r="L119" s="210">
        <f>ROUND(I119*$A$1,2)</f>
        <v>2.6</v>
      </c>
      <c r="M119" s="210">
        <f>MIN(E119,K119)</f>
        <v>5.17</v>
      </c>
      <c r="N119" s="209">
        <f>MIN(F119,L119)</f>
        <v>2.5999999999999996</v>
      </c>
      <c r="O119" s="174">
        <f t="shared" si="38"/>
        <v>0</v>
      </c>
      <c r="P119" s="178">
        <f t="shared" si="39"/>
        <v>100</v>
      </c>
      <c r="Q119" s="178">
        <f t="shared" si="40"/>
        <v>100</v>
      </c>
    </row>
    <row r="120" spans="1:17" ht="18.75" customHeight="1">
      <c r="A120" s="24"/>
      <c r="B120" s="233" t="str">
        <f>калькуляция!B138</f>
        <v>2.2.1.29.</v>
      </c>
      <c r="C120" s="276" t="str">
        <f>калькуляция!C138</f>
        <v>определение цинка:</v>
      </c>
      <c r="D120" s="281"/>
      <c r="E120" s="208"/>
      <c r="F120" s="209"/>
      <c r="G120" s="208"/>
      <c r="H120" s="211"/>
      <c r="I120" s="211"/>
      <c r="J120" s="171"/>
      <c r="K120" s="210"/>
      <c r="L120" s="210"/>
      <c r="M120" s="210"/>
      <c r="N120" s="209"/>
      <c r="O120" s="174"/>
      <c r="P120" s="178"/>
      <c r="Q120" s="178"/>
    </row>
    <row r="121" spans="1:17" ht="18.75" customHeight="1">
      <c r="A121" s="84"/>
      <c r="B121" s="235" t="str">
        <f>калькуляция!B139</f>
        <v>2.2.1.29.1.</v>
      </c>
      <c r="C121" s="279" t="str">
        <f>калькуляция!C139</f>
        <v>определение цинка (ФЭК)</v>
      </c>
      <c r="D121" s="231" t="s">
        <v>54</v>
      </c>
      <c r="E121" s="208">
        <f>калькуляция!AE139</f>
        <v>6.169999999999999</v>
      </c>
      <c r="F121" s="209">
        <f>калькуляция!BS139</f>
        <v>3.6300000000000003</v>
      </c>
      <c r="G121" s="208" t="s">
        <v>906</v>
      </c>
      <c r="H121" s="211">
        <v>1.09</v>
      </c>
      <c r="I121" s="211">
        <v>0.56</v>
      </c>
      <c r="J121" s="171">
        <f t="shared" si="37"/>
        <v>466.0550458715595</v>
      </c>
      <c r="K121" s="210">
        <f aca="true" t="shared" si="45" ref="K121:L124">ROUND(H121*$A$1,2)</f>
        <v>1.09</v>
      </c>
      <c r="L121" s="210">
        <f t="shared" si="45"/>
        <v>0.56</v>
      </c>
      <c r="M121" s="210">
        <f aca="true" t="shared" si="46" ref="M121:N124">MIN(E121,K121)</f>
        <v>1.09</v>
      </c>
      <c r="N121" s="209">
        <f t="shared" si="46"/>
        <v>0.56</v>
      </c>
      <c r="O121" s="174">
        <f t="shared" si="38"/>
        <v>0</v>
      </c>
      <c r="P121" s="178">
        <f t="shared" si="39"/>
        <v>17.7</v>
      </c>
      <c r="Q121" s="178">
        <f t="shared" si="40"/>
        <v>15.4</v>
      </c>
    </row>
    <row r="122" spans="1:17" ht="18.75" customHeight="1">
      <c r="A122" s="84"/>
      <c r="B122" s="315" t="s">
        <v>820</v>
      </c>
      <c r="C122" s="274" t="s">
        <v>310</v>
      </c>
      <c r="D122" s="231" t="s">
        <v>54</v>
      </c>
      <c r="E122" s="208">
        <f>калькуляция!AE140</f>
        <v>9.340000000000002</v>
      </c>
      <c r="F122" s="209">
        <f>калькуляция!BS140</f>
        <v>5.17</v>
      </c>
      <c r="G122" s="208" t="s">
        <v>821</v>
      </c>
      <c r="H122" s="211">
        <v>0.9</v>
      </c>
      <c r="I122" s="211">
        <v>0.46</v>
      </c>
      <c r="J122" s="171">
        <f t="shared" si="37"/>
        <v>937.777777777778</v>
      </c>
      <c r="K122" s="210">
        <f t="shared" si="45"/>
        <v>0.9</v>
      </c>
      <c r="L122" s="210">
        <f t="shared" si="45"/>
        <v>0.46</v>
      </c>
      <c r="M122" s="210">
        <f t="shared" si="46"/>
        <v>0.9</v>
      </c>
      <c r="N122" s="209">
        <f t="shared" si="46"/>
        <v>0.46</v>
      </c>
      <c r="O122" s="174">
        <f t="shared" si="38"/>
        <v>0</v>
      </c>
      <c r="P122" s="178">
        <f t="shared" si="39"/>
        <v>9.6</v>
      </c>
      <c r="Q122" s="178">
        <f t="shared" si="40"/>
        <v>8.9</v>
      </c>
    </row>
    <row r="123" spans="1:17" ht="18.75" customHeight="1">
      <c r="A123" s="84"/>
      <c r="B123" s="315" t="str">
        <f>калькуляция!B141</f>
        <v>2.2.1.41.1</v>
      </c>
      <c r="C123" s="274" t="str">
        <f>калькуляция!C141</f>
        <v>определение молибдена (ФЭК)</v>
      </c>
      <c r="D123" s="231" t="s">
        <v>54</v>
      </c>
      <c r="E123" s="208">
        <f>калькуляция!AE141</f>
        <v>7.77</v>
      </c>
      <c r="F123" s="209">
        <f>калькуляция!BS141</f>
        <v>5.17</v>
      </c>
      <c r="G123" s="208" t="s">
        <v>909</v>
      </c>
      <c r="H123" s="211">
        <v>1.4</v>
      </c>
      <c r="I123" s="211">
        <v>0.7</v>
      </c>
      <c r="J123" s="171">
        <f>E123/H123*100-100</f>
        <v>455</v>
      </c>
      <c r="K123" s="210">
        <f t="shared" si="45"/>
        <v>1.4</v>
      </c>
      <c r="L123" s="210">
        <f t="shared" si="45"/>
        <v>0.7</v>
      </c>
      <c r="M123" s="210">
        <f t="shared" si="46"/>
        <v>1.4</v>
      </c>
      <c r="N123" s="209">
        <f t="shared" si="46"/>
        <v>0.7</v>
      </c>
      <c r="O123" s="174">
        <f>M123/H123*100-100</f>
        <v>0</v>
      </c>
      <c r="P123" s="178">
        <f>ROUND(M123/E123*100,1)</f>
        <v>18</v>
      </c>
      <c r="Q123" s="178">
        <f>ROUND(N123/F123*100,1)</f>
        <v>13.5</v>
      </c>
    </row>
    <row r="124" spans="1:17" ht="18.75" customHeight="1">
      <c r="A124" s="84"/>
      <c r="B124" s="315" t="str">
        <f>калькуляция!B142</f>
        <v>2.2.1.66.1</v>
      </c>
      <c r="C124" s="274" t="str">
        <f>калькуляция!C142</f>
        <v>определение 2,4-дихлорфеноксиуксусной кислоты (ТСХ)</v>
      </c>
      <c r="D124" s="231" t="s">
        <v>54</v>
      </c>
      <c r="E124" s="208">
        <f>калькуляция!AE142</f>
        <v>16.78</v>
      </c>
      <c r="F124" s="209">
        <f>калькуляция!BS142</f>
        <v>9.18</v>
      </c>
      <c r="G124" s="208" t="s">
        <v>914</v>
      </c>
      <c r="H124" s="211">
        <v>7.31</v>
      </c>
      <c r="I124" s="211">
        <v>5.8</v>
      </c>
      <c r="J124" s="171">
        <f>E124/H124*100-100</f>
        <v>129.54856361149112</v>
      </c>
      <c r="K124" s="210">
        <f t="shared" si="45"/>
        <v>7.31</v>
      </c>
      <c r="L124" s="210">
        <f t="shared" si="45"/>
        <v>5.8</v>
      </c>
      <c r="M124" s="210">
        <f t="shared" si="46"/>
        <v>7.31</v>
      </c>
      <c r="N124" s="209">
        <f t="shared" si="46"/>
        <v>5.8</v>
      </c>
      <c r="O124" s="174">
        <f>M124/H124*100-100</f>
        <v>0</v>
      </c>
      <c r="P124" s="178">
        <f>ROUND(M124/E124*100,1)</f>
        <v>43.6</v>
      </c>
      <c r="Q124" s="178">
        <f>ROUND(N124/F124*100,1)</f>
        <v>63.2</v>
      </c>
    </row>
    <row r="125" spans="1:17" ht="12.75">
      <c r="A125" s="84"/>
      <c r="B125" s="233" t="s">
        <v>305</v>
      </c>
      <c r="C125" s="276" t="s">
        <v>306</v>
      </c>
      <c r="D125" s="281"/>
      <c r="E125" s="208"/>
      <c r="F125" s="209"/>
      <c r="G125" s="208"/>
      <c r="H125" s="211"/>
      <c r="I125" s="211"/>
      <c r="J125" s="171"/>
      <c r="K125" s="210"/>
      <c r="L125" s="210"/>
      <c r="M125" s="210"/>
      <c r="N125" s="209"/>
      <c r="O125" s="174"/>
      <c r="P125" s="178"/>
      <c r="Q125" s="178"/>
    </row>
    <row r="126" spans="1:17" ht="16.5" customHeight="1">
      <c r="A126" s="191"/>
      <c r="B126" s="235" t="s">
        <v>307</v>
      </c>
      <c r="C126" s="279" t="s">
        <v>308</v>
      </c>
      <c r="D126" s="231" t="s">
        <v>54</v>
      </c>
      <c r="E126" s="208">
        <f>калькуляция!AE145</f>
        <v>6.9399999999999995</v>
      </c>
      <c r="F126" s="209">
        <f>калькуляция!BS145</f>
        <v>5.96</v>
      </c>
      <c r="G126" s="208" t="s">
        <v>769</v>
      </c>
      <c r="H126" s="211">
        <v>1</v>
      </c>
      <c r="I126" s="211">
        <v>0.5</v>
      </c>
      <c r="J126" s="171">
        <f t="shared" si="37"/>
        <v>594</v>
      </c>
      <c r="K126" s="210">
        <f>ROUND(H126*$A$1,2)</f>
        <v>1</v>
      </c>
      <c r="L126" s="210">
        <f>ROUND(I126*$A$1,2)</f>
        <v>0.5</v>
      </c>
      <c r="M126" s="210">
        <f>MIN(E126,K126)</f>
        <v>1</v>
      </c>
      <c r="N126" s="209">
        <f>MIN(F126,L126)</f>
        <v>0.5</v>
      </c>
      <c r="O126" s="174">
        <f t="shared" si="38"/>
        <v>0</v>
      </c>
      <c r="P126" s="178">
        <f t="shared" si="39"/>
        <v>14.4</v>
      </c>
      <c r="Q126" s="178">
        <f t="shared" si="40"/>
        <v>8.4</v>
      </c>
    </row>
    <row r="127" spans="1:17" ht="19.5" customHeight="1">
      <c r="A127" s="191"/>
      <c r="B127" s="235" t="s">
        <v>309</v>
      </c>
      <c r="C127" s="279" t="s">
        <v>310</v>
      </c>
      <c r="D127" s="231" t="s">
        <v>54</v>
      </c>
      <c r="E127" s="208">
        <f>калькуляция!AE146</f>
        <v>9.340000000000002</v>
      </c>
      <c r="F127" s="209">
        <f>калькуляция!BS146</f>
        <v>5.17</v>
      </c>
      <c r="G127" s="208" t="s">
        <v>770</v>
      </c>
      <c r="H127" s="211">
        <v>0.9</v>
      </c>
      <c r="I127" s="211">
        <v>0.46</v>
      </c>
      <c r="J127" s="171">
        <f t="shared" si="37"/>
        <v>937.777777777778</v>
      </c>
      <c r="K127" s="210">
        <f>ROUND(H127*$A$1,2)</f>
        <v>0.9</v>
      </c>
      <c r="L127" s="210">
        <f>ROUND(I127*$A$1,2)</f>
        <v>0.46</v>
      </c>
      <c r="M127" s="210">
        <f>MIN(E127,K127)</f>
        <v>0.9</v>
      </c>
      <c r="N127" s="209">
        <f>MIN(F127,L127)</f>
        <v>0.46</v>
      </c>
      <c r="O127" s="174">
        <f t="shared" si="38"/>
        <v>0</v>
      </c>
      <c r="P127" s="178">
        <f t="shared" si="39"/>
        <v>9.6</v>
      </c>
      <c r="Q127" s="178">
        <f t="shared" si="40"/>
        <v>8.9</v>
      </c>
    </row>
    <row r="128" spans="1:17" ht="19.5" customHeight="1">
      <c r="A128" s="191"/>
      <c r="B128" s="233" t="str">
        <f>калькуляция!B148</f>
        <v>2.2.2.3.</v>
      </c>
      <c r="C128" s="355" t="str">
        <f>калькуляция!C148</f>
        <v>определение растворенного кислорода:</v>
      </c>
      <c r="D128" s="231"/>
      <c r="E128" s="208"/>
      <c r="F128" s="209"/>
      <c r="G128" s="208"/>
      <c r="H128" s="211"/>
      <c r="I128" s="211"/>
      <c r="J128" s="171"/>
      <c r="K128" s="210"/>
      <c r="L128" s="210"/>
      <c r="M128" s="210"/>
      <c r="N128" s="209"/>
      <c r="O128" s="174"/>
      <c r="P128" s="178"/>
      <c r="Q128" s="178"/>
    </row>
    <row r="129" spans="1:17" ht="19.5" customHeight="1">
      <c r="A129" s="191"/>
      <c r="B129" s="235" t="str">
        <f>калькуляция!B149</f>
        <v>2.2.2.3.1.</v>
      </c>
      <c r="C129" s="355" t="str">
        <f>калькуляция!C149</f>
        <v>определение растворенного кислорода (титриметрический метод)</v>
      </c>
      <c r="D129" s="231" t="s">
        <v>54</v>
      </c>
      <c r="E129" s="208">
        <f>калькуляция!AE149</f>
        <v>8.42</v>
      </c>
      <c r="F129" s="209">
        <f>калькуляция!BS149</f>
        <v>5.6000000000000005</v>
      </c>
      <c r="G129" s="208" t="s">
        <v>919</v>
      </c>
      <c r="H129" s="211">
        <v>0.59</v>
      </c>
      <c r="I129" s="211">
        <v>0.31</v>
      </c>
      <c r="J129" s="171">
        <f>E129/H129*100-100</f>
        <v>1327.1186440677968</v>
      </c>
      <c r="K129" s="210">
        <f>ROUND(H129*$A$1,2)</f>
        <v>0.59</v>
      </c>
      <c r="L129" s="210">
        <f>ROUND(I129*$A$1,2)</f>
        <v>0.31</v>
      </c>
      <c r="M129" s="210">
        <f>MIN(E129,K129)</f>
        <v>0.59</v>
      </c>
      <c r="N129" s="209">
        <f>MIN(F129,L129)</f>
        <v>0.31</v>
      </c>
      <c r="O129" s="174">
        <f>M129/H129*100-100</f>
        <v>0</v>
      </c>
      <c r="P129" s="178">
        <f>ROUND(M129/E129*100,1)</f>
        <v>7</v>
      </c>
      <c r="Q129" s="178">
        <f>ROUND(N129/F129*100,1)</f>
        <v>5.5</v>
      </c>
    </row>
    <row r="130" spans="1:17" ht="19.5" customHeight="1">
      <c r="A130" s="191"/>
      <c r="B130" s="233" t="str">
        <f>калькуляция!B150</f>
        <v>2.2.2.4.</v>
      </c>
      <c r="C130" s="356" t="str">
        <f>калькуляция!C150</f>
        <v>определение биологического потребления кислорода (далее - БПК):</v>
      </c>
      <c r="D130" s="231"/>
      <c r="E130" s="208"/>
      <c r="F130" s="209"/>
      <c r="G130" s="208"/>
      <c r="H130" s="211"/>
      <c r="I130" s="211"/>
      <c r="J130" s="171"/>
      <c r="K130" s="210"/>
      <c r="L130" s="210"/>
      <c r="M130" s="210"/>
      <c r="N130" s="209"/>
      <c r="O130" s="174"/>
      <c r="P130" s="178"/>
      <c r="Q130" s="178"/>
    </row>
    <row r="131" spans="1:17" ht="19.5" customHeight="1">
      <c r="A131" s="191"/>
      <c r="B131" s="235" t="str">
        <f>калькуляция!B151</f>
        <v>2.2.2.4.1.</v>
      </c>
      <c r="C131" s="355" t="str">
        <f>калькуляция!C151</f>
        <v>определение БПК (титриметрический метод)</v>
      </c>
      <c r="D131" s="231" t="s">
        <v>54</v>
      </c>
      <c r="E131" s="208">
        <f>калькуляция!AE151</f>
        <v>11.76</v>
      </c>
      <c r="F131" s="209">
        <f>калькуляция!BS151</f>
        <v>7.170000000000001</v>
      </c>
      <c r="G131" s="208" t="s">
        <v>924</v>
      </c>
      <c r="H131" s="211">
        <v>1.99</v>
      </c>
      <c r="I131" s="211">
        <v>1</v>
      </c>
      <c r="J131" s="171">
        <f>E131/H131*100-100</f>
        <v>490.9547738693467</v>
      </c>
      <c r="K131" s="210">
        <f>ROUND(H131*$A$1,2)</f>
        <v>1.99</v>
      </c>
      <c r="L131" s="210">
        <f>ROUND(I131*$A$1,2)</f>
        <v>1</v>
      </c>
      <c r="M131" s="210">
        <f>MIN(E131,K131)</f>
        <v>1.99</v>
      </c>
      <c r="N131" s="209">
        <f>MIN(F131,L131)</f>
        <v>1</v>
      </c>
      <c r="O131" s="174">
        <f>M131/H131*100-100</f>
        <v>0</v>
      </c>
      <c r="P131" s="178">
        <f>ROUND(M131/E131*100,1)</f>
        <v>16.9</v>
      </c>
      <c r="Q131" s="178">
        <f>ROUND(N131/F131*100,1)</f>
        <v>13.9</v>
      </c>
    </row>
    <row r="132" spans="1:17" ht="19.5" customHeight="1">
      <c r="A132" s="191"/>
      <c r="B132" s="235" t="str">
        <f>калькуляция!B152</f>
        <v>2.2.2.34.</v>
      </c>
      <c r="C132" s="355" t="str">
        <f>калькуляция!C152</f>
        <v>определение аммиака и ионов аммония</v>
      </c>
      <c r="D132" s="231" t="s">
        <v>54</v>
      </c>
      <c r="E132" s="208">
        <f>калькуляция!AE152</f>
        <v>6.169999999999999</v>
      </c>
      <c r="F132" s="209">
        <f>калькуляция!BS152</f>
        <v>3.6300000000000003</v>
      </c>
      <c r="G132" s="208" t="s">
        <v>928</v>
      </c>
      <c r="H132" s="211">
        <v>0.9</v>
      </c>
      <c r="I132" s="211">
        <v>0.46</v>
      </c>
      <c r="J132" s="171">
        <f>E132/H132*100-100</f>
        <v>585.5555555555554</v>
      </c>
      <c r="K132" s="210">
        <f>ROUND(H132*$A$1,2)</f>
        <v>0.9</v>
      </c>
      <c r="L132" s="210">
        <f>ROUND(I132*$A$1,2)</f>
        <v>0.46</v>
      </c>
      <c r="M132" s="210">
        <f>MIN(E132,K132)</f>
        <v>0.9</v>
      </c>
      <c r="N132" s="209">
        <f>MIN(F132,L132)</f>
        <v>0.46</v>
      </c>
      <c r="O132" s="174">
        <f>M132/H132*100-100</f>
        <v>0</v>
      </c>
      <c r="P132" s="178">
        <f>ROUND(M132/E132*100,1)</f>
        <v>14.6</v>
      </c>
      <c r="Q132" s="178">
        <f>ROUND(N132/F132*100,1)</f>
        <v>12.7</v>
      </c>
    </row>
    <row r="133" spans="1:17" ht="19.5" customHeight="1">
      <c r="A133" s="191"/>
      <c r="B133" s="233" t="str">
        <f>калькуляция!B153</f>
        <v>2.2.2.36.</v>
      </c>
      <c r="C133" s="356" t="str">
        <f>калькуляция!C153</f>
        <v>определение хлоридов</v>
      </c>
      <c r="D133" s="231" t="s">
        <v>54</v>
      </c>
      <c r="E133" s="208"/>
      <c r="F133" s="209"/>
      <c r="G133" s="208"/>
      <c r="H133" s="211"/>
      <c r="I133" s="211"/>
      <c r="J133" s="171"/>
      <c r="K133" s="210"/>
      <c r="L133" s="210"/>
      <c r="M133" s="210"/>
      <c r="N133" s="209"/>
      <c r="O133" s="174"/>
      <c r="P133" s="178"/>
      <c r="Q133" s="178"/>
    </row>
    <row r="134" spans="1:17" ht="38.25" customHeight="1">
      <c r="A134" s="191"/>
      <c r="B134" s="235" t="str">
        <f>калькуляция!B154</f>
        <v>2.2.2.36.2.</v>
      </c>
      <c r="C134" s="355" t="str">
        <f>калькуляция!C162</f>
        <v>определение хлоридов (титриметрический метод с серебром азотнокислым)</v>
      </c>
      <c r="D134" s="231" t="s">
        <v>54</v>
      </c>
      <c r="E134" s="208">
        <f>калькуляция!AE154</f>
        <v>5.17</v>
      </c>
      <c r="F134" s="209">
        <f>калькуляция!BS154</f>
        <v>2.5999999999999996</v>
      </c>
      <c r="G134" s="208" t="s">
        <v>930</v>
      </c>
      <c r="H134" s="211">
        <v>0.81</v>
      </c>
      <c r="I134" s="211">
        <v>0.39</v>
      </c>
      <c r="J134" s="171">
        <f>E134/H134*100-100</f>
        <v>538.2716049382716</v>
      </c>
      <c r="K134" s="210">
        <f>ROUND(H134*$A$1,2)</f>
        <v>0.81</v>
      </c>
      <c r="L134" s="210">
        <f>ROUND(I134*$A$1,2)</f>
        <v>0.39</v>
      </c>
      <c r="M134" s="210">
        <f>MIN(E134,K134)</f>
        <v>0.81</v>
      </c>
      <c r="N134" s="209">
        <f>MIN(F134,L134)</f>
        <v>0.39</v>
      </c>
      <c r="O134" s="174">
        <f>M134/H134*100-100</f>
        <v>0</v>
      </c>
      <c r="P134" s="178">
        <f>ROUND(M134/E134*100,1)</f>
        <v>15.7</v>
      </c>
      <c r="Q134" s="178">
        <f>ROUND(N134/F134*100,1)</f>
        <v>15</v>
      </c>
    </row>
    <row r="135" spans="1:17" ht="17.25" customHeight="1">
      <c r="A135" s="84"/>
      <c r="B135" s="233" t="s">
        <v>311</v>
      </c>
      <c r="C135" s="276" t="s">
        <v>312</v>
      </c>
      <c r="D135" s="281"/>
      <c r="E135" s="208"/>
      <c r="F135" s="209"/>
      <c r="G135" s="208"/>
      <c r="H135" s="211"/>
      <c r="I135" s="211"/>
      <c r="J135" s="171"/>
      <c r="K135" s="210"/>
      <c r="L135" s="210"/>
      <c r="M135" s="210"/>
      <c r="N135" s="209"/>
      <c r="O135" s="174"/>
      <c r="P135" s="178"/>
      <c r="Q135" s="178"/>
    </row>
    <row r="136" spans="1:17" ht="18.75" customHeight="1">
      <c r="A136" s="84"/>
      <c r="B136" s="235" t="s">
        <v>313</v>
      </c>
      <c r="C136" s="279" t="s">
        <v>314</v>
      </c>
      <c r="D136" s="231" t="s">
        <v>54</v>
      </c>
      <c r="E136" s="208">
        <f>калькуляция!AE156</f>
        <v>6.169999999999999</v>
      </c>
      <c r="F136" s="209">
        <f>калькуляция!BS156</f>
        <v>3.6300000000000003</v>
      </c>
      <c r="G136" s="208"/>
      <c r="H136" s="211"/>
      <c r="I136" s="211"/>
      <c r="J136" s="171" t="e">
        <f t="shared" si="37"/>
        <v>#DIV/0!</v>
      </c>
      <c r="K136" s="326">
        <f>E136</f>
        <v>6.169999999999999</v>
      </c>
      <c r="L136" s="326">
        <f>F136</f>
        <v>3.6300000000000003</v>
      </c>
      <c r="M136" s="210">
        <f aca="true" t="shared" si="47" ref="M136:N138">MIN(E136,K136)</f>
        <v>6.169999999999999</v>
      </c>
      <c r="N136" s="209">
        <f t="shared" si="47"/>
        <v>3.6300000000000003</v>
      </c>
      <c r="O136" s="174" t="e">
        <f t="shared" si="38"/>
        <v>#DIV/0!</v>
      </c>
      <c r="P136" s="178">
        <f t="shared" si="39"/>
        <v>100</v>
      </c>
      <c r="Q136" s="178">
        <f t="shared" si="40"/>
        <v>100</v>
      </c>
    </row>
    <row r="137" spans="1:17" ht="16.5" customHeight="1">
      <c r="A137" s="84"/>
      <c r="B137" s="235" t="s">
        <v>315</v>
      </c>
      <c r="C137" s="279" t="s">
        <v>278</v>
      </c>
      <c r="D137" s="231" t="s">
        <v>54</v>
      </c>
      <c r="E137" s="208">
        <f>калькуляция!AE157</f>
        <v>6.169999999999999</v>
      </c>
      <c r="F137" s="209">
        <f>калькуляция!BS157</f>
        <v>3.6300000000000003</v>
      </c>
      <c r="G137" s="208" t="s">
        <v>771</v>
      </c>
      <c r="H137" s="211">
        <v>0.75</v>
      </c>
      <c r="I137" s="211">
        <v>0.38</v>
      </c>
      <c r="J137" s="171">
        <f t="shared" si="37"/>
        <v>722.6666666666665</v>
      </c>
      <c r="K137" s="210">
        <f>ROUND(H137*$A$1,2)</f>
        <v>0.75</v>
      </c>
      <c r="L137" s="210">
        <f>ROUND(I137*$A$1,2)</f>
        <v>0.38</v>
      </c>
      <c r="M137" s="210">
        <f t="shared" si="47"/>
        <v>0.75</v>
      </c>
      <c r="N137" s="209">
        <f t="shared" si="47"/>
        <v>0.38</v>
      </c>
      <c r="O137" s="174">
        <f t="shared" si="38"/>
        <v>0</v>
      </c>
      <c r="P137" s="178">
        <f t="shared" si="39"/>
        <v>12.2</v>
      </c>
      <c r="Q137" s="178">
        <f t="shared" si="40"/>
        <v>10.5</v>
      </c>
    </row>
    <row r="138" spans="1:17" ht="18" customHeight="1">
      <c r="A138" s="84"/>
      <c r="B138" s="235" t="s">
        <v>316</v>
      </c>
      <c r="C138" s="279" t="s">
        <v>317</v>
      </c>
      <c r="D138" s="231" t="s">
        <v>54</v>
      </c>
      <c r="E138" s="208">
        <f>калькуляция!AE158</f>
        <v>5.17</v>
      </c>
      <c r="F138" s="209">
        <f>калькуляция!BS158</f>
        <v>2.5999999999999996</v>
      </c>
      <c r="G138" s="208"/>
      <c r="H138" s="211"/>
      <c r="I138" s="211"/>
      <c r="J138" s="171" t="e">
        <f t="shared" si="37"/>
        <v>#DIV/0!</v>
      </c>
      <c r="K138" s="326">
        <f>E138</f>
        <v>5.17</v>
      </c>
      <c r="L138" s="326">
        <f>F138</f>
        <v>2.5999999999999996</v>
      </c>
      <c r="M138" s="210">
        <f t="shared" si="47"/>
        <v>5.17</v>
      </c>
      <c r="N138" s="209">
        <f t="shared" si="47"/>
        <v>2.5999999999999996</v>
      </c>
      <c r="O138" s="174" t="e">
        <f t="shared" si="38"/>
        <v>#DIV/0!</v>
      </c>
      <c r="P138" s="178">
        <f t="shared" si="39"/>
        <v>100</v>
      </c>
      <c r="Q138" s="178">
        <f t="shared" si="40"/>
        <v>100</v>
      </c>
    </row>
    <row r="139" spans="1:17" ht="16.5" customHeight="1">
      <c r="A139" s="84"/>
      <c r="B139" s="233" t="s">
        <v>318</v>
      </c>
      <c r="C139" s="276" t="s">
        <v>319</v>
      </c>
      <c r="D139" s="281"/>
      <c r="E139" s="208"/>
      <c r="F139" s="209"/>
      <c r="G139" s="208"/>
      <c r="H139" s="211"/>
      <c r="I139" s="211"/>
      <c r="J139" s="171"/>
      <c r="K139" s="210"/>
      <c r="L139" s="210"/>
      <c r="M139" s="210"/>
      <c r="N139" s="209"/>
      <c r="O139" s="174"/>
      <c r="P139" s="178"/>
      <c r="Q139" s="178"/>
    </row>
    <row r="140" spans="1:17" ht="17.25" customHeight="1">
      <c r="A140" s="84"/>
      <c r="B140" s="235" t="s">
        <v>320</v>
      </c>
      <c r="C140" s="279" t="s">
        <v>280</v>
      </c>
      <c r="D140" s="231" t="s">
        <v>54</v>
      </c>
      <c r="E140" s="208">
        <f>калькуляция!AE160</f>
        <v>6.169999999999999</v>
      </c>
      <c r="F140" s="209">
        <f>калькуляция!BS160</f>
        <v>3.6300000000000003</v>
      </c>
      <c r="G140" s="208" t="s">
        <v>772</v>
      </c>
      <c r="H140" s="211">
        <v>0.75</v>
      </c>
      <c r="I140" s="211">
        <v>0.38</v>
      </c>
      <c r="J140" s="171">
        <f t="shared" si="37"/>
        <v>722.6666666666665</v>
      </c>
      <c r="K140" s="210">
        <f>ROUND(H140*$A$1,2)</f>
        <v>0.75</v>
      </c>
      <c r="L140" s="210">
        <f>ROUND(I140*$A$1,2)</f>
        <v>0.38</v>
      </c>
      <c r="M140" s="210">
        <f>MIN(E140,K140)</f>
        <v>0.75</v>
      </c>
      <c r="N140" s="209">
        <f>MIN(F140,L140)</f>
        <v>0.38</v>
      </c>
      <c r="O140" s="174">
        <f t="shared" si="38"/>
        <v>0</v>
      </c>
      <c r="P140" s="178">
        <f t="shared" si="39"/>
        <v>12.2</v>
      </c>
      <c r="Q140" s="178">
        <f t="shared" si="40"/>
        <v>10.5</v>
      </c>
    </row>
    <row r="141" spans="1:17" ht="19.5" customHeight="1">
      <c r="A141" s="84"/>
      <c r="B141" s="233" t="s">
        <v>321</v>
      </c>
      <c r="C141" s="276" t="s">
        <v>322</v>
      </c>
      <c r="D141" s="281"/>
      <c r="E141" s="208"/>
      <c r="F141" s="209"/>
      <c r="G141" s="208"/>
      <c r="H141" s="211"/>
      <c r="I141" s="211"/>
      <c r="J141" s="171"/>
      <c r="K141" s="210"/>
      <c r="L141" s="210"/>
      <c r="M141" s="210"/>
      <c r="N141" s="209"/>
      <c r="O141" s="174"/>
      <c r="P141" s="178"/>
      <c r="Q141" s="178"/>
    </row>
    <row r="142" spans="1:17" ht="18" customHeight="1">
      <c r="A142" s="84"/>
      <c r="B142" s="235" t="s">
        <v>323</v>
      </c>
      <c r="C142" s="279" t="s">
        <v>324</v>
      </c>
      <c r="D142" s="231" t="s">
        <v>54</v>
      </c>
      <c r="E142" s="208">
        <f>калькуляция!AE162</f>
        <v>5.17</v>
      </c>
      <c r="F142" s="209">
        <f>калькуляция!BS162</f>
        <v>2.5999999999999996</v>
      </c>
      <c r="G142" s="208" t="s">
        <v>773</v>
      </c>
      <c r="H142" s="211">
        <v>0.81</v>
      </c>
      <c r="I142" s="211">
        <v>0.39</v>
      </c>
      <c r="J142" s="171">
        <f t="shared" si="37"/>
        <v>538.2716049382716</v>
      </c>
      <c r="K142" s="210">
        <f>ROUND(H142*$A$1,2)</f>
        <v>0.81</v>
      </c>
      <c r="L142" s="210">
        <f>ROUND(I142*$A$1,2)</f>
        <v>0.39</v>
      </c>
      <c r="M142" s="210">
        <f>MIN(E142,K142)</f>
        <v>0.81</v>
      </c>
      <c r="N142" s="209">
        <f>MIN(F142,L142)</f>
        <v>0.39</v>
      </c>
      <c r="O142" s="174">
        <f t="shared" si="38"/>
        <v>0</v>
      </c>
      <c r="P142" s="178">
        <f t="shared" si="39"/>
        <v>15.7</v>
      </c>
      <c r="Q142" s="178">
        <f t="shared" si="40"/>
        <v>15</v>
      </c>
    </row>
    <row r="143" spans="1:17" ht="15.75" customHeight="1">
      <c r="A143" s="84"/>
      <c r="B143" s="235" t="s">
        <v>325</v>
      </c>
      <c r="C143" s="279" t="s">
        <v>326</v>
      </c>
      <c r="D143" s="231" t="s">
        <v>54</v>
      </c>
      <c r="E143" s="208">
        <f>калькуляция!AE163</f>
        <v>5.17</v>
      </c>
      <c r="F143" s="209">
        <f>калькуляция!BS163</f>
        <v>2.5999999999999996</v>
      </c>
      <c r="G143" s="208" t="s">
        <v>931</v>
      </c>
      <c r="H143" s="211">
        <v>1.04</v>
      </c>
      <c r="I143" s="211">
        <v>0.83</v>
      </c>
      <c r="J143" s="171">
        <f>E143/H143*100-100</f>
        <v>397.1153846153846</v>
      </c>
      <c r="K143" s="210">
        <f>ROUND(H143*$A$1,2)</f>
        <v>1.04</v>
      </c>
      <c r="L143" s="210">
        <f>ROUND(I143*$A$1,2)</f>
        <v>0.83</v>
      </c>
      <c r="M143" s="210">
        <f>MIN(E143,K143)</f>
        <v>1.04</v>
      </c>
      <c r="N143" s="209">
        <f>MIN(F143,L143)</f>
        <v>0.83</v>
      </c>
      <c r="O143" s="174">
        <f>M143/H143*100-100</f>
        <v>0</v>
      </c>
      <c r="P143" s="178">
        <f>ROUND(M143/E143*100,1)</f>
        <v>20.1</v>
      </c>
      <c r="Q143" s="178">
        <f>ROUND(N143/F143*100,1)</f>
        <v>31.9</v>
      </c>
    </row>
    <row r="144" spans="1:17" ht="18" customHeight="1">
      <c r="A144" s="84"/>
      <c r="B144" s="233" t="s">
        <v>327</v>
      </c>
      <c r="C144" s="276" t="s">
        <v>286</v>
      </c>
      <c r="D144" s="281"/>
      <c r="E144" s="208"/>
      <c r="F144" s="209"/>
      <c r="G144" s="208"/>
      <c r="H144" s="211"/>
      <c r="I144" s="211"/>
      <c r="J144" s="171"/>
      <c r="K144" s="210"/>
      <c r="L144" s="210"/>
      <c r="M144" s="210"/>
      <c r="N144" s="209"/>
      <c r="O144" s="174"/>
      <c r="P144" s="178"/>
      <c r="Q144" s="178"/>
    </row>
    <row r="145" spans="1:17" ht="21" customHeight="1">
      <c r="A145" s="84"/>
      <c r="B145" s="235" t="s">
        <v>328</v>
      </c>
      <c r="C145" s="279" t="s">
        <v>288</v>
      </c>
      <c r="D145" s="231" t="s">
        <v>54</v>
      </c>
      <c r="E145" s="208">
        <f>калькуляция!AE165</f>
        <v>6.169999999999999</v>
      </c>
      <c r="F145" s="209">
        <f>калькуляция!BS165</f>
        <v>3.6300000000000003</v>
      </c>
      <c r="G145" s="208" t="s">
        <v>932</v>
      </c>
      <c r="H145" s="211">
        <v>1.55</v>
      </c>
      <c r="I145" s="211">
        <v>1.23</v>
      </c>
      <c r="J145" s="171">
        <f>E145/H145*100-100</f>
        <v>298.0645161290322</v>
      </c>
      <c r="K145" s="210">
        <f>ROUND(H145*$A$1,2)</f>
        <v>1.55</v>
      </c>
      <c r="L145" s="210">
        <f>ROUND(I145*$A$1,2)</f>
        <v>1.23</v>
      </c>
      <c r="M145" s="210">
        <f>MIN(E145,K145)</f>
        <v>1.55</v>
      </c>
      <c r="N145" s="209">
        <f>MIN(F145,L145)</f>
        <v>1.23</v>
      </c>
      <c r="O145" s="174">
        <f>M145/H145*100-100</f>
        <v>0</v>
      </c>
      <c r="P145" s="178">
        <f>ROUND(M145/E145*100,1)</f>
        <v>25.1</v>
      </c>
      <c r="Q145" s="178">
        <f>ROUND(N145/F145*100,1)</f>
        <v>33.9</v>
      </c>
    </row>
    <row r="146" spans="1:17" ht="12.75">
      <c r="A146" s="84"/>
      <c r="B146" s="233" t="s">
        <v>329</v>
      </c>
      <c r="C146" s="276" t="s">
        <v>330</v>
      </c>
      <c r="D146" s="281"/>
      <c r="E146" s="208"/>
      <c r="F146" s="209"/>
      <c r="G146" s="208"/>
      <c r="H146" s="211"/>
      <c r="I146" s="211"/>
      <c r="J146" s="171"/>
      <c r="K146" s="210"/>
      <c r="L146" s="210"/>
      <c r="M146" s="210"/>
      <c r="N146" s="209"/>
      <c r="O146" s="174"/>
      <c r="P146" s="178"/>
      <c r="Q146" s="178"/>
    </row>
    <row r="147" spans="1:17" ht="18.75" customHeight="1">
      <c r="A147" s="84"/>
      <c r="B147" s="235" t="s">
        <v>331</v>
      </c>
      <c r="C147" s="279" t="s">
        <v>332</v>
      </c>
      <c r="D147" s="231" t="s">
        <v>54</v>
      </c>
      <c r="E147" s="208">
        <f>калькуляция!AE167</f>
        <v>5.17</v>
      </c>
      <c r="F147" s="209">
        <f>калькуляция!BS167</f>
        <v>2.5999999999999996</v>
      </c>
      <c r="G147" s="208" t="s">
        <v>753</v>
      </c>
      <c r="H147" s="211">
        <v>1.08</v>
      </c>
      <c r="I147" s="211">
        <v>0.83</v>
      </c>
      <c r="J147" s="171">
        <f t="shared" si="37"/>
        <v>378.70370370370364</v>
      </c>
      <c r="K147" s="210">
        <f aca="true" t="shared" si="48" ref="K147:K154">ROUND(H147*$A$1,2)</f>
        <v>1.08</v>
      </c>
      <c r="L147" s="210">
        <f aca="true" t="shared" si="49" ref="L147:L152">ROUND(I147*$A$1,2)</f>
        <v>0.83</v>
      </c>
      <c r="M147" s="210">
        <f aca="true" t="shared" si="50" ref="M147:M154">MIN(E147,K147)</f>
        <v>1.08</v>
      </c>
      <c r="N147" s="209">
        <f aca="true" t="shared" si="51" ref="N147:N154">MIN(F147,L147)</f>
        <v>0.83</v>
      </c>
      <c r="O147" s="174">
        <f t="shared" si="38"/>
        <v>0</v>
      </c>
      <c r="P147" s="178">
        <f t="shared" si="39"/>
        <v>20.9</v>
      </c>
      <c r="Q147" s="178">
        <f t="shared" si="40"/>
        <v>31.9</v>
      </c>
    </row>
    <row r="148" spans="1:17" ht="17.25" customHeight="1">
      <c r="A148" s="84"/>
      <c r="B148" s="235" t="s">
        <v>333</v>
      </c>
      <c r="C148" s="279" t="s">
        <v>260</v>
      </c>
      <c r="D148" s="231" t="s">
        <v>54</v>
      </c>
      <c r="E148" s="208">
        <f>калькуляция!AE168</f>
        <v>5.17</v>
      </c>
      <c r="F148" s="209">
        <f>калькуляция!BS168</f>
        <v>2.5999999999999996</v>
      </c>
      <c r="G148" s="208" t="s">
        <v>754</v>
      </c>
      <c r="H148" s="211">
        <v>0.59</v>
      </c>
      <c r="I148" s="211">
        <v>0.31</v>
      </c>
      <c r="J148" s="171">
        <f t="shared" si="37"/>
        <v>776.271186440678</v>
      </c>
      <c r="K148" s="210">
        <f t="shared" si="48"/>
        <v>0.59</v>
      </c>
      <c r="L148" s="210">
        <f t="shared" si="49"/>
        <v>0.31</v>
      </c>
      <c r="M148" s="210">
        <f t="shared" si="50"/>
        <v>0.59</v>
      </c>
      <c r="N148" s="209">
        <f t="shared" si="51"/>
        <v>0.31</v>
      </c>
      <c r="O148" s="174">
        <f t="shared" si="38"/>
        <v>0</v>
      </c>
      <c r="P148" s="178">
        <f t="shared" si="39"/>
        <v>11.4</v>
      </c>
      <c r="Q148" s="178">
        <f t="shared" si="40"/>
        <v>11.9</v>
      </c>
    </row>
    <row r="149" spans="1:17" ht="18" customHeight="1">
      <c r="A149" s="84"/>
      <c r="B149" s="235" t="s">
        <v>334</v>
      </c>
      <c r="C149" s="279" t="s">
        <v>335</v>
      </c>
      <c r="D149" s="231" t="s">
        <v>54</v>
      </c>
      <c r="E149" s="208">
        <f>калькуляция!AE169</f>
        <v>3.6300000000000003</v>
      </c>
      <c r="F149" s="209">
        <f>калькуляция!BS169</f>
        <v>1.78</v>
      </c>
      <c r="G149" s="208" t="s">
        <v>933</v>
      </c>
      <c r="H149" s="211">
        <v>0.59</v>
      </c>
      <c r="I149" s="211">
        <v>0.31</v>
      </c>
      <c r="J149" s="171">
        <f t="shared" si="37"/>
        <v>515.2542372881356</v>
      </c>
      <c r="K149" s="210">
        <f t="shared" si="48"/>
        <v>0.59</v>
      </c>
      <c r="L149" s="210">
        <f t="shared" si="49"/>
        <v>0.31</v>
      </c>
      <c r="M149" s="210">
        <f t="shared" si="50"/>
        <v>0.59</v>
      </c>
      <c r="N149" s="209">
        <f t="shared" si="51"/>
        <v>0.31</v>
      </c>
      <c r="O149" s="174">
        <f t="shared" si="38"/>
        <v>0</v>
      </c>
      <c r="P149" s="178">
        <f t="shared" si="39"/>
        <v>16.3</v>
      </c>
      <c r="Q149" s="178">
        <f t="shared" si="40"/>
        <v>17.4</v>
      </c>
    </row>
    <row r="150" spans="1:17" ht="17.25" customHeight="1">
      <c r="A150" s="84"/>
      <c r="B150" s="235" t="s">
        <v>336</v>
      </c>
      <c r="C150" s="279" t="s">
        <v>268</v>
      </c>
      <c r="D150" s="231" t="s">
        <v>54</v>
      </c>
      <c r="E150" s="208">
        <f>калькуляция!AE170</f>
        <v>5.17</v>
      </c>
      <c r="F150" s="209">
        <f>калькуляция!BS170</f>
        <v>2.5999999999999996</v>
      </c>
      <c r="G150" s="208" t="s">
        <v>757</v>
      </c>
      <c r="H150" s="211">
        <v>0.39</v>
      </c>
      <c r="I150" s="211">
        <v>0.2</v>
      </c>
      <c r="J150" s="171">
        <f t="shared" si="37"/>
        <v>1225.6410256410256</v>
      </c>
      <c r="K150" s="210">
        <f t="shared" si="48"/>
        <v>0.39</v>
      </c>
      <c r="L150" s="210">
        <f t="shared" si="49"/>
        <v>0.2</v>
      </c>
      <c r="M150" s="210">
        <f t="shared" si="50"/>
        <v>0.39</v>
      </c>
      <c r="N150" s="209">
        <f t="shared" si="51"/>
        <v>0.2</v>
      </c>
      <c r="O150" s="174">
        <f t="shared" si="38"/>
        <v>0</v>
      </c>
      <c r="P150" s="178">
        <f t="shared" si="39"/>
        <v>7.5</v>
      </c>
      <c r="Q150" s="178">
        <f t="shared" si="40"/>
        <v>7.7</v>
      </c>
    </row>
    <row r="151" spans="1:17" ht="17.25" customHeight="1">
      <c r="A151" s="84"/>
      <c r="B151" s="235" t="s">
        <v>337</v>
      </c>
      <c r="C151" s="279" t="s">
        <v>338</v>
      </c>
      <c r="D151" s="231" t="s">
        <v>54</v>
      </c>
      <c r="E151" s="208">
        <f>калькуляция!AE171</f>
        <v>5.17</v>
      </c>
      <c r="F151" s="209">
        <f>калькуляция!BS171</f>
        <v>2.5999999999999996</v>
      </c>
      <c r="G151" s="208" t="s">
        <v>934</v>
      </c>
      <c r="H151" s="211">
        <v>0.59</v>
      </c>
      <c r="I151" s="211">
        <v>0.31</v>
      </c>
      <c r="J151" s="171">
        <f t="shared" si="37"/>
        <v>776.271186440678</v>
      </c>
      <c r="K151" s="210">
        <f t="shared" si="48"/>
        <v>0.59</v>
      </c>
      <c r="L151" s="210">
        <f t="shared" si="49"/>
        <v>0.31</v>
      </c>
      <c r="M151" s="210">
        <f t="shared" si="50"/>
        <v>0.59</v>
      </c>
      <c r="N151" s="209">
        <f t="shared" si="51"/>
        <v>0.31</v>
      </c>
      <c r="O151" s="174">
        <f t="shared" si="38"/>
        <v>0</v>
      </c>
      <c r="P151" s="178">
        <f t="shared" si="39"/>
        <v>11.4</v>
      </c>
      <c r="Q151" s="178">
        <f t="shared" si="40"/>
        <v>11.9</v>
      </c>
    </row>
    <row r="152" spans="1:17" ht="18.75" customHeight="1">
      <c r="A152" s="84"/>
      <c r="B152" s="235" t="s">
        <v>339</v>
      </c>
      <c r="C152" s="279" t="s">
        <v>340</v>
      </c>
      <c r="D152" s="231" t="s">
        <v>54</v>
      </c>
      <c r="E152" s="208">
        <f>калькуляция!AE172</f>
        <v>6.169999999999999</v>
      </c>
      <c r="F152" s="209">
        <f>калькуляция!BS172</f>
        <v>3.6300000000000003</v>
      </c>
      <c r="G152" s="208" t="s">
        <v>935</v>
      </c>
      <c r="H152" s="211">
        <v>0.59</v>
      </c>
      <c r="I152" s="211">
        <v>0.31</v>
      </c>
      <c r="J152" s="171">
        <f t="shared" si="37"/>
        <v>945.7627118644068</v>
      </c>
      <c r="K152" s="210">
        <f t="shared" si="48"/>
        <v>0.59</v>
      </c>
      <c r="L152" s="210">
        <f t="shared" si="49"/>
        <v>0.31</v>
      </c>
      <c r="M152" s="210">
        <f t="shared" si="50"/>
        <v>0.59</v>
      </c>
      <c r="N152" s="209">
        <f t="shared" si="51"/>
        <v>0.31</v>
      </c>
      <c r="O152" s="174">
        <f t="shared" si="38"/>
        <v>0</v>
      </c>
      <c r="P152" s="178">
        <f t="shared" si="39"/>
        <v>9.6</v>
      </c>
      <c r="Q152" s="178">
        <f t="shared" si="40"/>
        <v>8.5</v>
      </c>
    </row>
    <row r="153" spans="1:17" ht="12.75">
      <c r="A153" s="84"/>
      <c r="B153" s="233" t="s">
        <v>342</v>
      </c>
      <c r="C153" s="276" t="s">
        <v>343</v>
      </c>
      <c r="D153" s="281"/>
      <c r="E153" s="208"/>
      <c r="F153" s="209"/>
      <c r="G153" s="208"/>
      <c r="H153" s="211"/>
      <c r="I153" s="211"/>
      <c r="J153" s="171"/>
      <c r="K153" s="210"/>
      <c r="L153" s="210"/>
      <c r="M153" s="210"/>
      <c r="N153" s="209"/>
      <c r="O153" s="174"/>
      <c r="P153" s="178"/>
      <c r="Q153" s="178"/>
    </row>
    <row r="154" spans="1:17" ht="14.25" customHeight="1">
      <c r="A154" s="84"/>
      <c r="B154" s="235" t="s">
        <v>346</v>
      </c>
      <c r="C154" s="279" t="s">
        <v>347</v>
      </c>
      <c r="D154" s="231" t="s">
        <v>54</v>
      </c>
      <c r="E154" s="208">
        <f>калькуляция!AE175</f>
        <v>2.02</v>
      </c>
      <c r="F154" s="209">
        <f>калькуляция!BS175</f>
        <v>1</v>
      </c>
      <c r="G154" s="208" t="s">
        <v>774</v>
      </c>
      <c r="H154" s="211">
        <v>3.19</v>
      </c>
      <c r="I154" s="211"/>
      <c r="J154" s="171">
        <f t="shared" si="37"/>
        <v>-36.677115987460816</v>
      </c>
      <c r="K154" s="210">
        <f t="shared" si="48"/>
        <v>3.19</v>
      </c>
      <c r="L154" s="210">
        <f>F154</f>
        <v>1</v>
      </c>
      <c r="M154" s="210">
        <f t="shared" si="50"/>
        <v>2.02</v>
      </c>
      <c r="N154" s="209">
        <f t="shared" si="51"/>
        <v>1</v>
      </c>
      <c r="O154" s="174">
        <f t="shared" si="38"/>
        <v>-36.677115987460816</v>
      </c>
      <c r="P154" s="178">
        <f t="shared" si="39"/>
        <v>100</v>
      </c>
      <c r="Q154" s="178">
        <f t="shared" si="40"/>
        <v>100</v>
      </c>
    </row>
    <row r="155" spans="1:17" ht="15" customHeight="1">
      <c r="A155" s="84"/>
      <c r="B155" s="235" t="s">
        <v>348</v>
      </c>
      <c r="C155" s="279" t="s">
        <v>349</v>
      </c>
      <c r="D155" s="231" t="s">
        <v>54</v>
      </c>
      <c r="E155" s="208">
        <f>калькуляция!AE176</f>
        <v>2.6899999999999995</v>
      </c>
      <c r="F155" s="209">
        <f>калькуляция!BS176</f>
        <v>0.54</v>
      </c>
      <c r="G155" s="208" t="s">
        <v>774</v>
      </c>
      <c r="H155" s="211">
        <v>3.19</v>
      </c>
      <c r="I155" s="211"/>
      <c r="J155" s="171">
        <f t="shared" si="37"/>
        <v>-15.67398119122258</v>
      </c>
      <c r="K155" s="210">
        <f>ROUND(H155*$A$1,2)</f>
        <v>3.19</v>
      </c>
      <c r="L155" s="210">
        <f>F155</f>
        <v>0.54</v>
      </c>
      <c r="M155" s="210">
        <f>MIN(E155,K155)</f>
        <v>2.6899999999999995</v>
      </c>
      <c r="N155" s="209">
        <f>MIN(F155,L155)</f>
        <v>0.54</v>
      </c>
      <c r="O155" s="174">
        <f t="shared" si="38"/>
        <v>-15.67398119122258</v>
      </c>
      <c r="P155" s="178">
        <f t="shared" si="39"/>
        <v>100</v>
      </c>
      <c r="Q155" s="178">
        <f t="shared" si="40"/>
        <v>100</v>
      </c>
    </row>
    <row r="156" spans="1:17" ht="27.75" customHeight="1">
      <c r="A156" s="84"/>
      <c r="B156" s="233" t="s">
        <v>352</v>
      </c>
      <c r="C156" s="276" t="s">
        <v>353</v>
      </c>
      <c r="D156" s="281"/>
      <c r="E156" s="208"/>
      <c r="F156" s="209"/>
      <c r="G156" s="208"/>
      <c r="H156" s="211"/>
      <c r="I156" s="211"/>
      <c r="J156" s="171"/>
      <c r="K156" s="210"/>
      <c r="L156" s="210"/>
      <c r="M156" s="210"/>
      <c r="N156" s="209"/>
      <c r="O156" s="174"/>
      <c r="P156" s="178"/>
      <c r="Q156" s="178"/>
    </row>
    <row r="157" spans="1:17" ht="12.75">
      <c r="A157" s="84"/>
      <c r="B157" s="233" t="s">
        <v>354</v>
      </c>
      <c r="C157" s="276" t="s">
        <v>355</v>
      </c>
      <c r="D157" s="281"/>
      <c r="E157" s="208"/>
      <c r="F157" s="209"/>
      <c r="G157" s="208"/>
      <c r="H157" s="211"/>
      <c r="I157" s="211"/>
      <c r="J157" s="171"/>
      <c r="K157" s="210"/>
      <c r="L157" s="210"/>
      <c r="M157" s="210"/>
      <c r="N157" s="209"/>
      <c r="O157" s="174"/>
      <c r="P157" s="178"/>
      <c r="Q157" s="178"/>
    </row>
    <row r="158" spans="1:20" ht="12.75">
      <c r="A158" s="218"/>
      <c r="B158" s="233" t="s">
        <v>0</v>
      </c>
      <c r="C158" s="276" t="s">
        <v>356</v>
      </c>
      <c r="D158" s="281"/>
      <c r="E158" s="208"/>
      <c r="F158" s="209"/>
      <c r="G158" s="208"/>
      <c r="H158" s="211"/>
      <c r="I158" s="211"/>
      <c r="J158" s="171"/>
      <c r="K158" s="210"/>
      <c r="L158" s="210"/>
      <c r="M158" s="210"/>
      <c r="N158" s="209"/>
      <c r="O158" s="174"/>
      <c r="P158" s="178"/>
      <c r="Q158" s="178"/>
      <c r="T158" s="221" t="s">
        <v>134</v>
      </c>
    </row>
    <row r="159" spans="1:17" ht="18.75" customHeight="1">
      <c r="A159" s="84"/>
      <c r="B159" s="233" t="s">
        <v>357</v>
      </c>
      <c r="C159" s="276" t="s">
        <v>358</v>
      </c>
      <c r="D159" s="281"/>
      <c r="E159" s="208"/>
      <c r="F159" s="209"/>
      <c r="G159" s="208"/>
      <c r="H159" s="211"/>
      <c r="I159" s="211"/>
      <c r="J159" s="171"/>
      <c r="K159" s="210"/>
      <c r="L159" s="210"/>
      <c r="M159" s="210"/>
      <c r="N159" s="209"/>
      <c r="O159" s="174"/>
      <c r="P159" s="178"/>
      <c r="Q159" s="178"/>
    </row>
    <row r="160" spans="1:17" ht="28.5" customHeight="1">
      <c r="A160" s="84"/>
      <c r="B160" s="235" t="s">
        <v>359</v>
      </c>
      <c r="C160" s="355" t="s">
        <v>360</v>
      </c>
      <c r="D160" s="330" t="s">
        <v>54</v>
      </c>
      <c r="E160" s="208">
        <f>калькуляция!AE182</f>
        <v>6.79</v>
      </c>
      <c r="F160" s="209">
        <f>калькуляция!BS182</f>
        <v>3.38</v>
      </c>
      <c r="G160" s="208" t="s">
        <v>775</v>
      </c>
      <c r="H160" s="211">
        <v>1.1</v>
      </c>
      <c r="I160" s="211">
        <v>0.64</v>
      </c>
      <c r="J160" s="171">
        <f>E160/H160*100-100</f>
        <v>517.2727272727273</v>
      </c>
      <c r="K160" s="210">
        <f>ROUND(H160*$A$1,2)</f>
        <v>1.1</v>
      </c>
      <c r="L160" s="210">
        <f>ROUND(I160*$A$1,2)</f>
        <v>0.64</v>
      </c>
      <c r="M160" s="210">
        <f>MIN(E160,K160)</f>
        <v>1.1</v>
      </c>
      <c r="N160" s="209">
        <f>MIN(F160,L160)</f>
        <v>0.64</v>
      </c>
      <c r="O160" s="174">
        <f>M160/H160*100-100</f>
        <v>0</v>
      </c>
      <c r="P160" s="178">
        <f>ROUND(M160/E160*100,1)</f>
        <v>16.2</v>
      </c>
      <c r="Q160" s="178">
        <f>ROUND(N160/F160*100,1)</f>
        <v>18.9</v>
      </c>
    </row>
    <row r="161" spans="1:17" ht="28.5" customHeight="1">
      <c r="A161" s="84"/>
      <c r="B161" s="233" t="str">
        <f>калькуляция!B183</f>
        <v>3.1.1.14.</v>
      </c>
      <c r="C161" s="356" t="str">
        <f>калькуляция!C183</f>
        <v>определение щелочности</v>
      </c>
      <c r="D161" s="330"/>
      <c r="E161" s="208"/>
      <c r="F161" s="209"/>
      <c r="G161" s="208"/>
      <c r="H161" s="211"/>
      <c r="I161" s="211"/>
      <c r="J161" s="171"/>
      <c r="K161" s="210"/>
      <c r="L161" s="210"/>
      <c r="M161" s="210"/>
      <c r="N161" s="209"/>
      <c r="O161" s="174"/>
      <c r="P161" s="178"/>
      <c r="Q161" s="178"/>
    </row>
    <row r="162" spans="1:17" ht="21" customHeight="1">
      <c r="A162" s="84"/>
      <c r="B162" s="235" t="str">
        <f>калькуляция!B184</f>
        <v>3.1.1.14.1</v>
      </c>
      <c r="C162" s="355" t="str">
        <f>калькуляция!C184</f>
        <v>определение щелочности в мучных кондитерских изделиях</v>
      </c>
      <c r="D162" s="330" t="s">
        <v>54</v>
      </c>
      <c r="E162" s="208">
        <f>калькуляция!AE184</f>
        <v>5.17</v>
      </c>
      <c r="F162" s="209">
        <f>калькуляция!BS184</f>
        <v>2.5999999999999996</v>
      </c>
      <c r="G162" s="208" t="s">
        <v>940</v>
      </c>
      <c r="H162" s="211">
        <v>0.55</v>
      </c>
      <c r="I162" s="211">
        <v>0.4</v>
      </c>
      <c r="J162" s="171">
        <f>E162/H162*100-100</f>
        <v>839.9999999999999</v>
      </c>
      <c r="K162" s="210">
        <f>ROUND(H162*$A$1,2)</f>
        <v>0.55</v>
      </c>
      <c r="L162" s="210">
        <f>ROUND(I162*$A$1,2)</f>
        <v>0.4</v>
      </c>
      <c r="M162" s="210">
        <f>MIN(E162,K162)</f>
        <v>0.55</v>
      </c>
      <c r="N162" s="209">
        <f>MIN(F162,L162)</f>
        <v>0.4</v>
      </c>
      <c r="O162" s="174">
        <f>M162/H162*100-100</f>
        <v>0</v>
      </c>
      <c r="P162" s="178">
        <f>ROUND(M162/E162*100,1)</f>
        <v>10.6</v>
      </c>
      <c r="Q162" s="178">
        <f>ROUND(N162/F162*100,1)</f>
        <v>15.4</v>
      </c>
    </row>
    <row r="163" spans="1:17" ht="15" customHeight="1">
      <c r="A163" s="84"/>
      <c r="B163" s="233" t="str">
        <f>калькуляция!B185</f>
        <v>3.1.1.15.</v>
      </c>
      <c r="C163" s="356" t="str">
        <f>калькуляция!C185</f>
        <v>определение редуцирующих веществ:</v>
      </c>
      <c r="D163" s="330"/>
      <c r="E163" s="208"/>
      <c r="F163" s="209"/>
      <c r="G163" s="208"/>
      <c r="H163" s="211"/>
      <c r="I163" s="211"/>
      <c r="J163" s="171"/>
      <c r="K163" s="210"/>
      <c r="L163" s="210"/>
      <c r="M163" s="210"/>
      <c r="N163" s="209"/>
      <c r="O163" s="174"/>
      <c r="P163" s="178"/>
      <c r="Q163" s="178"/>
    </row>
    <row r="164" spans="1:17" ht="16.5" customHeight="1">
      <c r="A164" s="84"/>
      <c r="B164" s="235" t="str">
        <f>калькуляция!B186</f>
        <v>3.1.1.15.1</v>
      </c>
      <c r="C164" s="355" t="str">
        <f>калькуляция!C186</f>
        <v>определение редуцирующих веществ (сахара до инверсии) в кондитерских изделиях (йодометрический метод)</v>
      </c>
      <c r="D164" s="330" t="s">
        <v>54</v>
      </c>
      <c r="E164" s="208">
        <f>калькуляция!AE186</f>
        <v>12.77</v>
      </c>
      <c r="F164" s="209">
        <f>калькуляция!BS186</f>
        <v>7.170000000000001</v>
      </c>
      <c r="G164" s="208" t="s">
        <v>943</v>
      </c>
      <c r="H164" s="211">
        <v>2.94</v>
      </c>
      <c r="I164" s="211">
        <v>2.35</v>
      </c>
      <c r="J164" s="171">
        <f>E164/H164*100-100</f>
        <v>334.3537414965987</v>
      </c>
      <c r="K164" s="210">
        <f>ROUND(H164*$A$1,2)</f>
        <v>2.94</v>
      </c>
      <c r="L164" s="210">
        <f>ROUND(I164*$A$1,2)</f>
        <v>2.35</v>
      </c>
      <c r="M164" s="210">
        <f>MIN(E164,K164)</f>
        <v>2.94</v>
      </c>
      <c r="N164" s="209">
        <f>MIN(F164,L164)</f>
        <v>2.35</v>
      </c>
      <c r="O164" s="174">
        <f>M164/H164*100-100</f>
        <v>0</v>
      </c>
      <c r="P164" s="178">
        <f>ROUND(M164/E164*100,1)</f>
        <v>23</v>
      </c>
      <c r="Q164" s="178">
        <f>ROUND(N164/F164*100,1)</f>
        <v>32.8</v>
      </c>
    </row>
    <row r="165" spans="1:20" ht="18.75" customHeight="1">
      <c r="A165" s="218"/>
      <c r="B165" s="233" t="s">
        <v>363</v>
      </c>
      <c r="C165" s="370" t="s">
        <v>364</v>
      </c>
      <c r="D165" s="371"/>
      <c r="E165" s="372"/>
      <c r="F165" s="209"/>
      <c r="G165" s="208"/>
      <c r="H165" s="211"/>
      <c r="I165" s="211"/>
      <c r="J165" s="171"/>
      <c r="K165" s="210"/>
      <c r="L165" s="210"/>
      <c r="M165" s="210"/>
      <c r="N165" s="209"/>
      <c r="O165" s="174"/>
      <c r="P165" s="178"/>
      <c r="Q165" s="178"/>
      <c r="T165" s="221" t="s">
        <v>134</v>
      </c>
    </row>
    <row r="166" spans="1:20" ht="21.75" customHeight="1">
      <c r="A166" s="218"/>
      <c r="B166" s="235" t="s">
        <v>365</v>
      </c>
      <c r="C166" s="279" t="s">
        <v>366</v>
      </c>
      <c r="D166" s="231" t="s">
        <v>54</v>
      </c>
      <c r="E166" s="208">
        <f>калькуляция!AE188</f>
        <v>10.249999999999998</v>
      </c>
      <c r="F166" s="209">
        <f>калькуляция!BS188</f>
        <v>8.69</v>
      </c>
      <c r="G166" s="208" t="s">
        <v>946</v>
      </c>
      <c r="H166" s="211">
        <v>8.28</v>
      </c>
      <c r="I166" s="211">
        <v>4.13</v>
      </c>
      <c r="J166" s="171">
        <f>E166/H166*100-100</f>
        <v>23.79227053140096</v>
      </c>
      <c r="K166" s="210">
        <f aca="true" t="shared" si="52" ref="K166:L169">ROUND(H166*$A$1,2)</f>
        <v>8.28</v>
      </c>
      <c r="L166" s="210">
        <f t="shared" si="52"/>
        <v>4.13</v>
      </c>
      <c r="M166" s="210">
        <f aca="true" t="shared" si="53" ref="M166:N169">MIN(E166,K166)</f>
        <v>8.28</v>
      </c>
      <c r="N166" s="209">
        <f t="shared" si="53"/>
        <v>4.13</v>
      </c>
      <c r="O166" s="174">
        <f>M166/H166*100-100</f>
        <v>0</v>
      </c>
      <c r="P166" s="178">
        <f aca="true" t="shared" si="54" ref="P166:Q169">ROUND(M166/E166*100,1)</f>
        <v>80.8</v>
      </c>
      <c r="Q166" s="178">
        <f t="shared" si="54"/>
        <v>47.5</v>
      </c>
      <c r="T166" s="221" t="s">
        <v>134</v>
      </c>
    </row>
    <row r="167" spans="1:17" ht="24" customHeight="1">
      <c r="A167" s="24"/>
      <c r="B167" s="235" t="s">
        <v>367</v>
      </c>
      <c r="C167" s="279" t="s">
        <v>368</v>
      </c>
      <c r="D167" s="231" t="s">
        <v>54</v>
      </c>
      <c r="E167" s="208">
        <f>калькуляция!AE189</f>
        <v>3.15</v>
      </c>
      <c r="F167" s="209">
        <f>калькуляция!BS189</f>
        <v>1.6</v>
      </c>
      <c r="G167" s="208" t="s">
        <v>785</v>
      </c>
      <c r="H167" s="211">
        <v>3.11</v>
      </c>
      <c r="I167" s="211">
        <v>2.48</v>
      </c>
      <c r="J167" s="171">
        <f>E167/H167*100-100</f>
        <v>1.2861736334405265</v>
      </c>
      <c r="K167" s="210">
        <f t="shared" si="52"/>
        <v>3.11</v>
      </c>
      <c r="L167" s="210">
        <f t="shared" si="52"/>
        <v>2.48</v>
      </c>
      <c r="M167" s="210">
        <f t="shared" si="53"/>
        <v>3.11</v>
      </c>
      <c r="N167" s="209">
        <f t="shared" si="53"/>
        <v>1.6</v>
      </c>
      <c r="O167" s="174">
        <f>M167/H167*100-100</f>
        <v>0</v>
      </c>
      <c r="P167" s="178">
        <f t="shared" si="54"/>
        <v>98.7</v>
      </c>
      <c r="Q167" s="178">
        <f t="shared" si="54"/>
        <v>100</v>
      </c>
    </row>
    <row r="168" spans="1:17" ht="18" customHeight="1">
      <c r="A168" s="85"/>
      <c r="B168" s="243" t="s">
        <v>369</v>
      </c>
      <c r="C168" s="280" t="s">
        <v>370</v>
      </c>
      <c r="D168" s="231" t="s">
        <v>54</v>
      </c>
      <c r="E168" s="208">
        <f>калькуляция!AE190</f>
        <v>13.35</v>
      </c>
      <c r="F168" s="209">
        <f>калькуляция!BS190</f>
        <v>10.780000000000001</v>
      </c>
      <c r="G168" s="208" t="s">
        <v>947</v>
      </c>
      <c r="H168" s="211">
        <v>9.24</v>
      </c>
      <c r="I168" s="211">
        <v>6.72</v>
      </c>
      <c r="J168" s="171">
        <f>E168/H168*100-100</f>
        <v>44.48051948051949</v>
      </c>
      <c r="K168" s="210">
        <f t="shared" si="52"/>
        <v>9.24</v>
      </c>
      <c r="L168" s="210">
        <f t="shared" si="52"/>
        <v>6.72</v>
      </c>
      <c r="M168" s="210">
        <f t="shared" si="53"/>
        <v>9.24</v>
      </c>
      <c r="N168" s="209">
        <f t="shared" si="53"/>
        <v>6.72</v>
      </c>
      <c r="O168" s="174">
        <f>M168/H168*100-100</f>
        <v>0</v>
      </c>
      <c r="P168" s="178">
        <f t="shared" si="54"/>
        <v>69.2</v>
      </c>
      <c r="Q168" s="178">
        <f t="shared" si="54"/>
        <v>62.3</v>
      </c>
    </row>
    <row r="169" spans="1:17" ht="18" customHeight="1">
      <c r="A169" s="85"/>
      <c r="B169" s="243" t="str">
        <f>калькуляция!B191</f>
        <v>3.1.1.22.</v>
      </c>
      <c r="C169" s="357" t="str">
        <f>калькуляция!C191</f>
        <v>определение воды в меде</v>
      </c>
      <c r="D169" s="231" t="s">
        <v>54</v>
      </c>
      <c r="E169" s="208">
        <f>калькуляция!AE191</f>
        <v>4.75</v>
      </c>
      <c r="F169" s="209">
        <f>калькуляция!BS191</f>
        <v>3.93</v>
      </c>
      <c r="G169" s="208" t="s">
        <v>950</v>
      </c>
      <c r="H169" s="211">
        <v>0.34</v>
      </c>
      <c r="I169" s="211">
        <v>0.21</v>
      </c>
      <c r="J169" s="171">
        <f>E169/H169*100-100</f>
        <v>1297.0588235294117</v>
      </c>
      <c r="K169" s="210">
        <f t="shared" si="52"/>
        <v>0.34</v>
      </c>
      <c r="L169" s="210">
        <f t="shared" si="52"/>
        <v>0.21</v>
      </c>
      <c r="M169" s="210">
        <f t="shared" si="53"/>
        <v>0.34</v>
      </c>
      <c r="N169" s="209">
        <f t="shared" si="53"/>
        <v>0.21</v>
      </c>
      <c r="O169" s="174">
        <f>M169/H169*100-100</f>
        <v>0</v>
      </c>
      <c r="P169" s="178">
        <f t="shared" si="54"/>
        <v>7.2</v>
      </c>
      <c r="Q169" s="178">
        <f t="shared" si="54"/>
        <v>5.3</v>
      </c>
    </row>
    <row r="170" spans="1:17" ht="18" customHeight="1">
      <c r="A170" s="85"/>
      <c r="B170" s="374" t="str">
        <f>калькуляция!B192</f>
        <v>3.1.1.23.</v>
      </c>
      <c r="C170" s="375" t="str">
        <f>калькуляция!C192</f>
        <v>определение оксиметилфурфурола</v>
      </c>
      <c r="D170" s="231" t="s">
        <v>54</v>
      </c>
      <c r="E170" s="208"/>
      <c r="F170" s="209"/>
      <c r="G170" s="208"/>
      <c r="H170" s="211"/>
      <c r="I170" s="211"/>
      <c r="J170" s="171"/>
      <c r="K170" s="210"/>
      <c r="L170" s="210"/>
      <c r="M170" s="210"/>
      <c r="N170" s="209"/>
      <c r="O170" s="174"/>
      <c r="P170" s="178"/>
      <c r="Q170" s="178"/>
    </row>
    <row r="171" spans="1:17" ht="18" customHeight="1">
      <c r="A171" s="85"/>
      <c r="B171" s="243" t="str">
        <f>калькуляция!B193</f>
        <v>3.1.1.23.1.</v>
      </c>
      <c r="C171" s="357" t="str">
        <f>калькуляция!C193</f>
        <v>определение оксиметилфурфурола в меде (качественная реакция)</v>
      </c>
      <c r="D171" s="231" t="s">
        <v>54</v>
      </c>
      <c r="E171" s="208">
        <f>калькуляция!AE193</f>
        <v>3.15</v>
      </c>
      <c r="F171" s="209">
        <f>калькуляция!BS193</f>
        <v>2.38</v>
      </c>
      <c r="G171" s="208" t="s">
        <v>955</v>
      </c>
      <c r="H171" s="211">
        <v>0.34</v>
      </c>
      <c r="I171" s="211">
        <v>0.21</v>
      </c>
      <c r="J171" s="171">
        <f>E171/H171*100-100</f>
        <v>826.470588235294</v>
      </c>
      <c r="K171" s="210">
        <f>ROUND(H171*$A$1,2)</f>
        <v>0.34</v>
      </c>
      <c r="L171" s="210">
        <f>ROUND(I171*$A$1,2)</f>
        <v>0.21</v>
      </c>
      <c r="M171" s="210">
        <f>MIN(E171,K171)</f>
        <v>0.34</v>
      </c>
      <c r="N171" s="209">
        <f>MIN(F171,L171)</f>
        <v>0.21</v>
      </c>
      <c r="O171" s="174">
        <f>M171/H171*100-100</f>
        <v>0</v>
      </c>
      <c r="P171" s="178">
        <f>ROUND(M171/E171*100,1)</f>
        <v>10.8</v>
      </c>
      <c r="Q171" s="178">
        <f>ROUND(N171/F171*100,1)</f>
        <v>8.8</v>
      </c>
    </row>
    <row r="172" spans="1:17" ht="18" customHeight="1">
      <c r="A172" s="85"/>
      <c r="B172" s="243" t="str">
        <f>калькуляция!B194</f>
        <v>3.1.1.24</v>
      </c>
      <c r="C172" s="357" t="str">
        <f>калькуляция!C194</f>
        <v>определение диастазного числа в меде</v>
      </c>
      <c r="D172" s="231" t="s">
        <v>54</v>
      </c>
      <c r="E172" s="208">
        <f>калькуляция!AE194</f>
        <v>11.94</v>
      </c>
      <c r="F172" s="209">
        <f>калькуляция!BS194</f>
        <v>3.6300000000000003</v>
      </c>
      <c r="G172" s="208" t="s">
        <v>786</v>
      </c>
      <c r="H172" s="211">
        <v>1.66</v>
      </c>
      <c r="I172" s="211">
        <v>1.02</v>
      </c>
      <c r="J172" s="171">
        <f>E172/H172*100-100</f>
        <v>619.277108433735</v>
      </c>
      <c r="K172" s="210">
        <f>ROUND(H172*$A$1,2)</f>
        <v>1.66</v>
      </c>
      <c r="L172" s="210">
        <f>ROUND(I172*$A$1,2)</f>
        <v>1.02</v>
      </c>
      <c r="M172" s="210">
        <f>MIN(E172,K172)</f>
        <v>1.66</v>
      </c>
      <c r="N172" s="209">
        <f>MIN(F172,L172)</f>
        <v>1.02</v>
      </c>
      <c r="O172" s="174">
        <f>M172/H172*100-100</f>
        <v>0</v>
      </c>
      <c r="P172" s="178">
        <f>ROUND(M172/E172*100,1)</f>
        <v>13.9</v>
      </c>
      <c r="Q172" s="178">
        <f>ROUND(N172/F172*100,1)</f>
        <v>28.1</v>
      </c>
    </row>
    <row r="173" spans="1:17" ht="19.5" customHeight="1">
      <c r="A173" s="85"/>
      <c r="B173" s="233" t="s">
        <v>371</v>
      </c>
      <c r="C173" s="276" t="s">
        <v>372</v>
      </c>
      <c r="D173" s="231"/>
      <c r="E173" s="208"/>
      <c r="F173" s="209"/>
      <c r="G173" s="208"/>
      <c r="H173" s="211"/>
      <c r="I173" s="211"/>
      <c r="J173" s="171"/>
      <c r="K173" s="210"/>
      <c r="L173" s="210"/>
      <c r="M173" s="210"/>
      <c r="N173" s="209"/>
      <c r="O173" s="174"/>
      <c r="P173" s="178"/>
      <c r="Q173" s="178"/>
    </row>
    <row r="174" spans="1:17" ht="18.75" customHeight="1">
      <c r="A174" s="86"/>
      <c r="B174" s="235" t="s">
        <v>373</v>
      </c>
      <c r="C174" s="279" t="s">
        <v>374</v>
      </c>
      <c r="D174" s="231" t="s">
        <v>54</v>
      </c>
      <c r="E174" s="208">
        <f>калькуляция!AE196</f>
        <v>10.319999999999999</v>
      </c>
      <c r="F174" s="209">
        <f>калькуляция!BS196</f>
        <v>4.15</v>
      </c>
      <c r="G174" s="208" t="s">
        <v>778</v>
      </c>
      <c r="H174" s="211">
        <v>1.55</v>
      </c>
      <c r="I174" s="211">
        <v>1.23</v>
      </c>
      <c r="J174" s="171">
        <f>E174/H174*100-100</f>
        <v>565.8064516129032</v>
      </c>
      <c r="K174" s="210">
        <f>ROUND(H174*$A$1,2)</f>
        <v>1.55</v>
      </c>
      <c r="L174" s="210">
        <f>ROUND(I174*$A$1,2)</f>
        <v>1.23</v>
      </c>
      <c r="M174" s="210">
        <f>MIN(E174,K174)</f>
        <v>1.55</v>
      </c>
      <c r="N174" s="209">
        <f>MIN(F174,L174)</f>
        <v>1.23</v>
      </c>
      <c r="O174" s="174">
        <f>M174/H174*100-100</f>
        <v>0</v>
      </c>
      <c r="P174" s="178">
        <f>ROUND(M174/E174*100,1)</f>
        <v>15</v>
      </c>
      <c r="Q174" s="178">
        <f>ROUND(N174/F174*100,1)</f>
        <v>29.6</v>
      </c>
    </row>
    <row r="175" spans="1:17" ht="19.5" customHeight="1">
      <c r="A175" s="87"/>
      <c r="B175" s="233" t="s">
        <v>377</v>
      </c>
      <c r="C175" s="276" t="s">
        <v>319</v>
      </c>
      <c r="D175" s="281"/>
      <c r="E175" s="208"/>
      <c r="F175" s="209"/>
      <c r="G175" s="208"/>
      <c r="H175" s="211"/>
      <c r="I175" s="211"/>
      <c r="J175" s="171"/>
      <c r="K175" s="210"/>
      <c r="L175" s="210"/>
      <c r="M175" s="210"/>
      <c r="N175" s="209"/>
      <c r="O175" s="174"/>
      <c r="P175" s="178"/>
      <c r="Q175" s="178"/>
    </row>
    <row r="176" spans="1:17" ht="25.5" customHeight="1">
      <c r="A176" s="87"/>
      <c r="B176" s="235" t="s">
        <v>378</v>
      </c>
      <c r="C176" s="279" t="s">
        <v>379</v>
      </c>
      <c r="D176" s="231" t="s">
        <v>54</v>
      </c>
      <c r="E176" s="208">
        <f>калькуляция!AE198</f>
        <v>14.340000000000002</v>
      </c>
      <c r="F176" s="209">
        <f>калькуляция!BS198</f>
        <v>11.569999999999999</v>
      </c>
      <c r="G176" s="208" t="s">
        <v>779</v>
      </c>
      <c r="H176" s="211">
        <v>3</v>
      </c>
      <c r="I176" s="211">
        <v>2.35</v>
      </c>
      <c r="J176" s="171">
        <f>E176/H176*100-100</f>
        <v>378</v>
      </c>
      <c r="K176" s="210">
        <f aca="true" t="shared" si="55" ref="K176:L179">ROUND(H176*$A$1,2)</f>
        <v>3</v>
      </c>
      <c r="L176" s="210">
        <f t="shared" si="55"/>
        <v>2.35</v>
      </c>
      <c r="M176" s="210">
        <f aca="true" t="shared" si="56" ref="M176:N179">MIN(E176,K176)</f>
        <v>3</v>
      </c>
      <c r="N176" s="209">
        <f t="shared" si="56"/>
        <v>2.35</v>
      </c>
      <c r="O176" s="174">
        <f>M176/H176*100-100</f>
        <v>0</v>
      </c>
      <c r="P176" s="178">
        <f aca="true" t="shared" si="57" ref="P176:Q179">ROUND(M176/E176*100,1)</f>
        <v>20.9</v>
      </c>
      <c r="Q176" s="178">
        <f t="shared" si="57"/>
        <v>20.3</v>
      </c>
    </row>
    <row r="177" spans="1:17" ht="12.75">
      <c r="A177" s="327"/>
      <c r="B177" s="315" t="s">
        <v>382</v>
      </c>
      <c r="C177" s="316" t="s">
        <v>383</v>
      </c>
      <c r="D177" s="313" t="s">
        <v>54</v>
      </c>
      <c r="E177" s="317">
        <f>калькуляция!AE199</f>
        <v>6.79</v>
      </c>
      <c r="F177" s="318">
        <f>калькуляция!BS199</f>
        <v>4.15</v>
      </c>
      <c r="G177" s="317" t="s">
        <v>958</v>
      </c>
      <c r="H177" s="312">
        <v>0.45</v>
      </c>
      <c r="I177" s="312">
        <v>0.32</v>
      </c>
      <c r="J177" s="171">
        <f>E177/H177*100-100</f>
        <v>1408.888888888889</v>
      </c>
      <c r="K177" s="210">
        <f t="shared" si="55"/>
        <v>0.45</v>
      </c>
      <c r="L177" s="210">
        <f t="shared" si="55"/>
        <v>0.32</v>
      </c>
      <c r="M177" s="210">
        <f t="shared" si="56"/>
        <v>0.45</v>
      </c>
      <c r="N177" s="209">
        <f t="shared" si="56"/>
        <v>0.32</v>
      </c>
      <c r="O177" s="174">
        <f>M177/H177*100-100</f>
        <v>0</v>
      </c>
      <c r="P177" s="178">
        <f t="shared" si="57"/>
        <v>6.6</v>
      </c>
      <c r="Q177" s="178">
        <f t="shared" si="57"/>
        <v>7.7</v>
      </c>
    </row>
    <row r="178" spans="1:17" ht="20.25" customHeight="1">
      <c r="A178" s="327"/>
      <c r="B178" s="315" t="str">
        <f>калькуляция!B200</f>
        <v>3.1.1.54</v>
      </c>
      <c r="C178" s="316" t="str">
        <f>калькуляция!C200</f>
        <v>определение пористости хлебобулочных изделий</v>
      </c>
      <c r="D178" s="313" t="s">
        <v>54</v>
      </c>
      <c r="E178" s="317">
        <f>калькуляция!AE200</f>
        <v>4.15</v>
      </c>
      <c r="F178" s="318">
        <f>калькуляция!BS200</f>
        <v>3.15</v>
      </c>
      <c r="G178" s="317" t="s">
        <v>961</v>
      </c>
      <c r="H178" s="312">
        <v>0.27</v>
      </c>
      <c r="I178" s="312">
        <v>0.27</v>
      </c>
      <c r="J178" s="171">
        <f>E178/H178*100-100</f>
        <v>1437.037037037037</v>
      </c>
      <c r="K178" s="210">
        <f t="shared" si="55"/>
        <v>0.27</v>
      </c>
      <c r="L178" s="210">
        <f t="shared" si="55"/>
        <v>0.27</v>
      </c>
      <c r="M178" s="210">
        <f t="shared" si="56"/>
        <v>0.27</v>
      </c>
      <c r="N178" s="209">
        <f t="shared" si="56"/>
        <v>0.27</v>
      </c>
      <c r="O178" s="174">
        <f>M178/H178*100-100</f>
        <v>0</v>
      </c>
      <c r="P178" s="178">
        <f t="shared" si="57"/>
        <v>6.5</v>
      </c>
      <c r="Q178" s="178">
        <f t="shared" si="57"/>
        <v>8.6</v>
      </c>
    </row>
    <row r="179" spans="1:17" ht="19.5" customHeight="1">
      <c r="A179" s="85"/>
      <c r="B179" s="235" t="s">
        <v>394</v>
      </c>
      <c r="C179" s="279" t="s">
        <v>395</v>
      </c>
      <c r="D179" s="231" t="s">
        <v>54</v>
      </c>
      <c r="E179" s="208">
        <f>калькуляция!AE201</f>
        <v>5.17</v>
      </c>
      <c r="F179" s="209">
        <f>калькуляция!BS201</f>
        <v>5.17</v>
      </c>
      <c r="G179" s="208" t="s">
        <v>782</v>
      </c>
      <c r="H179" s="211">
        <v>0.37</v>
      </c>
      <c r="I179" s="211">
        <v>0.27</v>
      </c>
      <c r="J179" s="171">
        <f>E179/H179*100-100</f>
        <v>1297.2972972972973</v>
      </c>
      <c r="K179" s="210">
        <f t="shared" si="55"/>
        <v>0.37</v>
      </c>
      <c r="L179" s="210">
        <f t="shared" si="55"/>
        <v>0.27</v>
      </c>
      <c r="M179" s="210">
        <f t="shared" si="56"/>
        <v>0.37</v>
      </c>
      <c r="N179" s="209">
        <f t="shared" si="56"/>
        <v>0.27</v>
      </c>
      <c r="O179" s="174">
        <f>M179/H179*100-100</f>
        <v>0</v>
      </c>
      <c r="P179" s="178">
        <f t="shared" si="57"/>
        <v>7.2</v>
      </c>
      <c r="Q179" s="178">
        <f t="shared" si="57"/>
        <v>5.2</v>
      </c>
    </row>
    <row r="180" spans="1:17" ht="17.25" customHeight="1">
      <c r="A180" s="85"/>
      <c r="B180" s="233" t="s">
        <v>396</v>
      </c>
      <c r="C180" s="276" t="s">
        <v>397</v>
      </c>
      <c r="D180" s="281"/>
      <c r="E180" s="208"/>
      <c r="F180" s="209"/>
      <c r="G180" s="208"/>
      <c r="H180" s="211"/>
      <c r="I180" s="211"/>
      <c r="J180" s="171"/>
      <c r="K180" s="210"/>
      <c r="L180" s="210"/>
      <c r="M180" s="210"/>
      <c r="N180" s="209"/>
      <c r="O180" s="174"/>
      <c r="P180" s="178"/>
      <c r="Q180" s="178"/>
    </row>
    <row r="181" spans="1:17" ht="18" customHeight="1">
      <c r="A181" s="87"/>
      <c r="B181" s="235" t="s">
        <v>398</v>
      </c>
      <c r="C181" s="279" t="s">
        <v>399</v>
      </c>
      <c r="D181" s="231" t="s">
        <v>54</v>
      </c>
      <c r="E181" s="208">
        <f>калькуляция!AE203</f>
        <v>10.94</v>
      </c>
      <c r="F181" s="209">
        <f>калькуляция!BS203</f>
        <v>10.94</v>
      </c>
      <c r="G181" s="208" t="s">
        <v>783</v>
      </c>
      <c r="H181" s="211">
        <v>1.86</v>
      </c>
      <c r="I181" s="211">
        <v>1.1</v>
      </c>
      <c r="J181" s="171">
        <f>E181/H181*100-100</f>
        <v>488.17204301075265</v>
      </c>
      <c r="K181" s="210">
        <f>ROUND(H181*$A$1,2)</f>
        <v>1.86</v>
      </c>
      <c r="L181" s="210">
        <f>ROUND(I181*$A$1,2)</f>
        <v>1.1</v>
      </c>
      <c r="M181" s="210">
        <f>MIN(E181,K181)</f>
        <v>1.86</v>
      </c>
      <c r="N181" s="209">
        <f>MIN(F181,L181)</f>
        <v>1.1</v>
      </c>
      <c r="O181" s="174">
        <f>M181/H181*100-100</f>
        <v>0</v>
      </c>
      <c r="P181" s="178">
        <f>ROUND(M181/E181*100,1)</f>
        <v>17</v>
      </c>
      <c r="Q181" s="178">
        <f>ROUND(N181/F181*100,1)</f>
        <v>10.1</v>
      </c>
    </row>
    <row r="182" spans="1:17" ht="19.5" customHeight="1">
      <c r="A182" s="87"/>
      <c r="B182" s="235" t="s">
        <v>400</v>
      </c>
      <c r="C182" s="279" t="s">
        <v>401</v>
      </c>
      <c r="D182" s="231" t="s">
        <v>54</v>
      </c>
      <c r="E182" s="208">
        <f>калькуляция!AE204</f>
        <v>7.170000000000001</v>
      </c>
      <c r="F182" s="209">
        <f>калькуляция!BS204</f>
        <v>6.4</v>
      </c>
      <c r="G182" s="208" t="s">
        <v>784</v>
      </c>
      <c r="H182" s="211">
        <v>1.1</v>
      </c>
      <c r="I182" s="211">
        <v>0.69</v>
      </c>
      <c r="J182" s="171">
        <f>E182/H182*100-100</f>
        <v>551.8181818181819</v>
      </c>
      <c r="K182" s="210">
        <f>ROUND(H182*$A$1,2)</f>
        <v>1.1</v>
      </c>
      <c r="L182" s="210">
        <f>ROUND(I182*$A$1,2)</f>
        <v>0.69</v>
      </c>
      <c r="M182" s="210">
        <f>MIN(E182,K182)</f>
        <v>1.1</v>
      </c>
      <c r="N182" s="209">
        <f>MIN(F182,L182)</f>
        <v>0.69</v>
      </c>
      <c r="O182" s="174">
        <f>M182/H182*100-100</f>
        <v>0</v>
      </c>
      <c r="P182" s="178">
        <f>ROUND(M182/E182*100,1)</f>
        <v>15.3</v>
      </c>
      <c r="Q182" s="178">
        <f>ROUND(N182/F182*100,1)</f>
        <v>10.8</v>
      </c>
    </row>
    <row r="183" spans="1:17" ht="20.25" customHeight="1">
      <c r="A183" s="87"/>
      <c r="B183" s="233" t="s">
        <v>402</v>
      </c>
      <c r="C183" s="276" t="s">
        <v>403</v>
      </c>
      <c r="D183" s="231"/>
      <c r="E183" s="208"/>
      <c r="F183" s="209"/>
      <c r="G183" s="208"/>
      <c r="H183" s="211"/>
      <c r="I183" s="211"/>
      <c r="J183" s="171"/>
      <c r="K183" s="210"/>
      <c r="L183" s="210"/>
      <c r="M183" s="210"/>
      <c r="N183" s="209"/>
      <c r="O183" s="174"/>
      <c r="P183" s="178"/>
      <c r="Q183" s="178"/>
    </row>
    <row r="184" spans="1:17" ht="18.75" customHeight="1">
      <c r="A184" s="84"/>
      <c r="B184" s="235" t="s">
        <v>404</v>
      </c>
      <c r="C184" s="279" t="s">
        <v>405</v>
      </c>
      <c r="D184" s="231" t="s">
        <v>54</v>
      </c>
      <c r="E184" s="208">
        <f>калькуляция!AE206</f>
        <v>8.95</v>
      </c>
      <c r="F184" s="209">
        <f>калькуляция!BS206</f>
        <v>8.95</v>
      </c>
      <c r="G184" s="208" t="s">
        <v>962</v>
      </c>
      <c r="H184" s="211">
        <v>0.27</v>
      </c>
      <c r="I184" s="211">
        <v>0.19</v>
      </c>
      <c r="J184" s="171">
        <f>E184/H184*100-100</f>
        <v>3214.8148148148143</v>
      </c>
      <c r="K184" s="210">
        <f>ROUND(H184*$A$1,2)</f>
        <v>0.27</v>
      </c>
      <c r="L184" s="210">
        <f>ROUND(I184*$A$1,2)</f>
        <v>0.19</v>
      </c>
      <c r="M184" s="210">
        <f>MIN(E184,K184)</f>
        <v>0.27</v>
      </c>
      <c r="N184" s="209">
        <f>MIN(F184,L184)</f>
        <v>0.19</v>
      </c>
      <c r="O184" s="174">
        <f>M184/H184*100-100</f>
        <v>0</v>
      </c>
      <c r="P184" s="178">
        <f>ROUND(M184/E184*100,1)</f>
        <v>3</v>
      </c>
      <c r="Q184" s="178">
        <f>ROUND(N184/F184*100,1)</f>
        <v>2.1</v>
      </c>
    </row>
    <row r="185" spans="1:17" ht="19.5" customHeight="1">
      <c r="A185" s="84"/>
      <c r="B185" s="235" t="s">
        <v>406</v>
      </c>
      <c r="C185" s="279" t="s">
        <v>407</v>
      </c>
      <c r="D185" s="231" t="s">
        <v>54</v>
      </c>
      <c r="E185" s="208">
        <f>калькуляция!AE207</f>
        <v>5.41</v>
      </c>
      <c r="F185" s="209">
        <f>калькуляция!BS207</f>
        <v>5.41</v>
      </c>
      <c r="G185" s="208" t="s">
        <v>962</v>
      </c>
      <c r="H185" s="211">
        <v>0.27</v>
      </c>
      <c r="I185" s="211">
        <v>0.19</v>
      </c>
      <c r="J185" s="171">
        <f>E185/H185*100-100</f>
        <v>1903.7037037037035</v>
      </c>
      <c r="K185" s="210">
        <f>ROUND(H185*$A$1,2)</f>
        <v>0.27</v>
      </c>
      <c r="L185" s="210">
        <f>ROUND(I185*$A$1,2)</f>
        <v>0.19</v>
      </c>
      <c r="M185" s="210">
        <f>MIN(E185,K185)</f>
        <v>0.27</v>
      </c>
      <c r="N185" s="209">
        <f>MIN(F185,L185)</f>
        <v>0.19</v>
      </c>
      <c r="O185" s="174">
        <f>M185/H185*100-100</f>
        <v>0</v>
      </c>
      <c r="P185" s="178">
        <f>ROUND(M185/E185*100,1)</f>
        <v>5</v>
      </c>
      <c r="Q185" s="178">
        <f>ROUND(N185/F185*100,1)</f>
        <v>3.5</v>
      </c>
    </row>
    <row r="186" spans="1:17" ht="25.5" customHeight="1">
      <c r="A186" s="84"/>
      <c r="B186" s="233" t="s">
        <v>408</v>
      </c>
      <c r="C186" s="276" t="s">
        <v>409</v>
      </c>
      <c r="D186" s="281"/>
      <c r="E186" s="208"/>
      <c r="F186" s="209"/>
      <c r="G186" s="208"/>
      <c r="H186" s="211"/>
      <c r="I186" s="211"/>
      <c r="J186" s="171"/>
      <c r="K186" s="210"/>
      <c r="L186" s="210"/>
      <c r="M186" s="210"/>
      <c r="N186" s="209"/>
      <c r="O186" s="174"/>
      <c r="P186" s="178"/>
      <c r="Q186" s="178"/>
    </row>
    <row r="187" spans="1:17" ht="25.5" customHeight="1">
      <c r="A187" s="84"/>
      <c r="B187" s="235" t="s">
        <v>410</v>
      </c>
      <c r="C187" s="279" t="s">
        <v>411</v>
      </c>
      <c r="D187" s="231" t="s">
        <v>54</v>
      </c>
      <c r="E187" s="208">
        <f>калькуляция!AE209</f>
        <v>2.81</v>
      </c>
      <c r="F187" s="209">
        <f>калькуляция!BS209</f>
        <v>1.78</v>
      </c>
      <c r="G187" s="208" t="s">
        <v>787</v>
      </c>
      <c r="H187" s="211">
        <v>0.37</v>
      </c>
      <c r="I187" s="211">
        <v>0.27</v>
      </c>
      <c r="J187" s="171">
        <f>E187/H187*100-100</f>
        <v>659.4594594594595</v>
      </c>
      <c r="K187" s="210">
        <f aca="true" t="shared" si="58" ref="K187:L190">ROUND(H187*$A$1,2)</f>
        <v>0.37</v>
      </c>
      <c r="L187" s="210">
        <f t="shared" si="58"/>
        <v>0.27</v>
      </c>
      <c r="M187" s="210">
        <f aca="true" t="shared" si="59" ref="M187:N190">MIN(E187,K187)</f>
        <v>0.37</v>
      </c>
      <c r="N187" s="209">
        <f t="shared" si="59"/>
        <v>0.27</v>
      </c>
      <c r="O187" s="174">
        <f>M187/H187*100-100</f>
        <v>0</v>
      </c>
      <c r="P187" s="178">
        <f aca="true" t="shared" si="60" ref="P187:Q190">ROUND(M187/E187*100,1)</f>
        <v>13.2</v>
      </c>
      <c r="Q187" s="178">
        <f t="shared" si="60"/>
        <v>15.2</v>
      </c>
    </row>
    <row r="188" spans="1:17" ht="15.75" customHeight="1">
      <c r="A188" s="24"/>
      <c r="B188" s="235" t="str">
        <f>калькуляция!B210</f>
        <v>3.1.1.96.</v>
      </c>
      <c r="C188" s="355" t="str">
        <f>калькуляция!C210</f>
        <v>определение показателя преломления</v>
      </c>
      <c r="D188" s="231" t="s">
        <v>54</v>
      </c>
      <c r="E188" s="208">
        <f>калькуляция!AE210</f>
        <v>5.41</v>
      </c>
      <c r="F188" s="209">
        <f>калькуляция!BS210</f>
        <v>4.07</v>
      </c>
      <c r="G188" s="208" t="s">
        <v>965</v>
      </c>
      <c r="H188" s="211">
        <v>0.18</v>
      </c>
      <c r="I188" s="211">
        <v>0.08</v>
      </c>
      <c r="J188" s="171">
        <f>E188/H188*100-100</f>
        <v>2905.5555555555557</v>
      </c>
      <c r="K188" s="210">
        <f t="shared" si="58"/>
        <v>0.18</v>
      </c>
      <c r="L188" s="210">
        <f t="shared" si="58"/>
        <v>0.08</v>
      </c>
      <c r="M188" s="210">
        <f t="shared" si="59"/>
        <v>0.18</v>
      </c>
      <c r="N188" s="209">
        <f t="shared" si="59"/>
        <v>0.08</v>
      </c>
      <c r="O188" s="174">
        <f>M188/H188*100-100</f>
        <v>0</v>
      </c>
      <c r="P188" s="178">
        <f t="shared" si="60"/>
        <v>3.3</v>
      </c>
      <c r="Q188" s="178">
        <f t="shared" si="60"/>
        <v>2</v>
      </c>
    </row>
    <row r="189" spans="1:17" ht="16.5" customHeight="1">
      <c r="A189" s="24"/>
      <c r="B189" s="235" t="str">
        <f>калькуляция!B211</f>
        <v>3.1.1.97.</v>
      </c>
      <c r="C189" s="355" t="str">
        <f>калькуляция!C211</f>
        <v>определение растворимых сухих веществ</v>
      </c>
      <c r="D189" s="231" t="s">
        <v>54</v>
      </c>
      <c r="E189" s="208">
        <f>калькуляция!AE211</f>
        <v>5.41</v>
      </c>
      <c r="F189" s="209">
        <f>калькуляция!BS211</f>
        <v>4.07</v>
      </c>
      <c r="G189" s="208" t="s">
        <v>968</v>
      </c>
      <c r="H189" s="211">
        <v>0.23</v>
      </c>
      <c r="I189" s="211">
        <v>0.19</v>
      </c>
      <c r="J189" s="171">
        <f>E189/H189*100-100</f>
        <v>2252.173913043478</v>
      </c>
      <c r="K189" s="210">
        <f t="shared" si="58"/>
        <v>0.23</v>
      </c>
      <c r="L189" s="210">
        <f t="shared" si="58"/>
        <v>0.19</v>
      </c>
      <c r="M189" s="210">
        <f t="shared" si="59"/>
        <v>0.23</v>
      </c>
      <c r="N189" s="209">
        <f t="shared" si="59"/>
        <v>0.19</v>
      </c>
      <c r="O189" s="174">
        <f>M189/H189*100-100</f>
        <v>0</v>
      </c>
      <c r="P189" s="178">
        <f t="shared" si="60"/>
        <v>4.3</v>
      </c>
      <c r="Q189" s="178">
        <f t="shared" si="60"/>
        <v>4.7</v>
      </c>
    </row>
    <row r="190" spans="1:17" ht="12.75">
      <c r="A190" s="84"/>
      <c r="B190" s="235" t="s">
        <v>423</v>
      </c>
      <c r="C190" s="279" t="s">
        <v>424</v>
      </c>
      <c r="D190" s="231" t="s">
        <v>54</v>
      </c>
      <c r="E190" s="208">
        <f>калькуляция!AE212</f>
        <v>3.6300000000000003</v>
      </c>
      <c r="F190" s="209">
        <f>калькуляция!BS212</f>
        <v>2.86</v>
      </c>
      <c r="G190" s="208" t="s">
        <v>788</v>
      </c>
      <c r="H190" s="211">
        <v>0.19</v>
      </c>
      <c r="I190" s="211">
        <v>0.19</v>
      </c>
      <c r="J190" s="171">
        <f>E190/H190*100-100</f>
        <v>1810.526315789474</v>
      </c>
      <c r="K190" s="210">
        <f t="shared" si="58"/>
        <v>0.19</v>
      </c>
      <c r="L190" s="210">
        <f t="shared" si="58"/>
        <v>0.19</v>
      </c>
      <c r="M190" s="210">
        <f t="shared" si="59"/>
        <v>0.19</v>
      </c>
      <c r="N190" s="209">
        <f t="shared" si="59"/>
        <v>0.19</v>
      </c>
      <c r="O190" s="174">
        <f>M190/H190*100-100</f>
        <v>0</v>
      </c>
      <c r="P190" s="178">
        <f t="shared" si="60"/>
        <v>5.2</v>
      </c>
      <c r="Q190" s="178">
        <f t="shared" si="60"/>
        <v>6.6</v>
      </c>
    </row>
    <row r="191" spans="1:17" ht="15.75" customHeight="1">
      <c r="A191" s="84"/>
      <c r="B191" s="233" t="s">
        <v>437</v>
      </c>
      <c r="C191" s="276" t="s">
        <v>438</v>
      </c>
      <c r="D191" s="281"/>
      <c r="E191" s="208"/>
      <c r="F191" s="209"/>
      <c r="G191" s="208"/>
      <c r="H191" s="211"/>
      <c r="I191" s="211"/>
      <c r="J191" s="171"/>
      <c r="K191" s="210"/>
      <c r="L191" s="210"/>
      <c r="M191" s="210"/>
      <c r="N191" s="209"/>
      <c r="O191" s="174"/>
      <c r="P191" s="178"/>
      <c r="Q191" s="178"/>
    </row>
    <row r="192" spans="1:17" ht="25.5" customHeight="1">
      <c r="A192" s="84"/>
      <c r="B192" s="235" t="s">
        <v>439</v>
      </c>
      <c r="C192" s="279" t="s">
        <v>440</v>
      </c>
      <c r="D192" s="231" t="s">
        <v>54</v>
      </c>
      <c r="E192" s="208">
        <f>калькуляция!AE214</f>
        <v>16.65</v>
      </c>
      <c r="F192" s="209">
        <f>калькуляция!BS214</f>
        <v>5.17</v>
      </c>
      <c r="G192" s="208" t="s">
        <v>794</v>
      </c>
      <c r="H192" s="211">
        <v>0.83</v>
      </c>
      <c r="I192" s="211">
        <v>0.83</v>
      </c>
      <c r="J192" s="171">
        <f>E192/H192*100-100</f>
        <v>1906.0240963855422</v>
      </c>
      <c r="K192" s="210">
        <f>ROUND(H192*$A$1,2)</f>
        <v>0.83</v>
      </c>
      <c r="L192" s="210">
        <f>ROUND(I192*$A$1,2)</f>
        <v>0.83</v>
      </c>
      <c r="M192" s="210">
        <f>MIN(E192,K192)</f>
        <v>0.83</v>
      </c>
      <c r="N192" s="209">
        <f>MIN(F192,L192)</f>
        <v>0.83</v>
      </c>
      <c r="O192" s="174">
        <f>M192/H192*100-100</f>
        <v>0</v>
      </c>
      <c r="P192" s="178">
        <f>ROUND(M192/E192*100,1)</f>
        <v>5</v>
      </c>
      <c r="Q192" s="178">
        <f>ROUND(N192/F192*100,1)</f>
        <v>16.1</v>
      </c>
    </row>
    <row r="193" spans="1:17" ht="25.5" customHeight="1">
      <c r="A193" s="84"/>
      <c r="B193" s="233" t="str">
        <f>калькуляция!B215</f>
        <v>3.1.3.9.</v>
      </c>
      <c r="C193" s="356" t="str">
        <f>калькуляция!C215</f>
        <v>определение хлорорганических пестицидов</v>
      </c>
      <c r="D193" s="231"/>
      <c r="E193" s="208"/>
      <c r="F193" s="209"/>
      <c r="G193" s="208"/>
      <c r="H193" s="211"/>
      <c r="I193" s="211"/>
      <c r="J193" s="171"/>
      <c r="K193" s="210"/>
      <c r="L193" s="210"/>
      <c r="M193" s="210"/>
      <c r="N193" s="209"/>
      <c r="O193" s="174"/>
      <c r="P193" s="178"/>
      <c r="Q193" s="178"/>
    </row>
    <row r="194" spans="1:17" ht="25.5" customHeight="1">
      <c r="A194" s="84"/>
      <c r="B194" s="235" t="str">
        <f>калькуляция!B216</f>
        <v>3.1.3.9.1</v>
      </c>
      <c r="C194" s="355" t="str">
        <f>калькуляция!C216</f>
        <v>определение хлорорганических пестицидов в муке, зернобобовых, хлебобулочных, крупе, мясо- и рыбопродуктах (ТСХ)</v>
      </c>
      <c r="D194" s="231" t="s">
        <v>54</v>
      </c>
      <c r="E194" s="208">
        <f>калькуляция!AE216</f>
        <v>29.53</v>
      </c>
      <c r="F194" s="209">
        <f>калькуляция!BS216</f>
        <v>13.209999999999999</v>
      </c>
      <c r="G194" s="208" t="s">
        <v>979</v>
      </c>
      <c r="H194" s="211">
        <v>9.31</v>
      </c>
      <c r="I194" s="211">
        <v>7.45</v>
      </c>
      <c r="J194" s="171">
        <f aca="true" t="shared" si="61" ref="J194:J199">E194/H194*100-100</f>
        <v>217.18582169709987</v>
      </c>
      <c r="K194" s="210">
        <f aca="true" t="shared" si="62" ref="K194:L199">ROUND(H194*$A$1,2)</f>
        <v>9.31</v>
      </c>
      <c r="L194" s="210">
        <f t="shared" si="62"/>
        <v>7.45</v>
      </c>
      <c r="M194" s="210">
        <f aca="true" t="shared" si="63" ref="M194:N199">MIN(E194,K194)</f>
        <v>9.31</v>
      </c>
      <c r="N194" s="209">
        <f t="shared" si="63"/>
        <v>7.45</v>
      </c>
      <c r="O194" s="174">
        <f aca="true" t="shared" si="64" ref="O194:O199">M194/H194*100-100</f>
        <v>0</v>
      </c>
      <c r="P194" s="178">
        <f aca="true" t="shared" si="65" ref="P194:Q199">ROUND(M194/E194*100,1)</f>
        <v>31.5</v>
      </c>
      <c r="Q194" s="178">
        <f t="shared" si="65"/>
        <v>56.4</v>
      </c>
    </row>
    <row r="195" spans="1:17" ht="25.5" customHeight="1">
      <c r="A195" s="84"/>
      <c r="B195" s="235" t="str">
        <f>калькуляция!B217</f>
        <v>3.1.3.9.2</v>
      </c>
      <c r="C195" s="355" t="str">
        <f>калькуляция!C217</f>
        <v>определение хлорорганических пестицидов в плодоовощной продукции (ТСХ)</v>
      </c>
      <c r="D195" s="231" t="s">
        <v>54</v>
      </c>
      <c r="E195" s="208">
        <f>калькуляция!AE217</f>
        <v>29.53</v>
      </c>
      <c r="F195" s="209">
        <f>калькуляция!BS217</f>
        <v>13.209999999999999</v>
      </c>
      <c r="G195" s="208" t="s">
        <v>980</v>
      </c>
      <c r="H195" s="211">
        <v>9.31</v>
      </c>
      <c r="I195" s="211">
        <v>7.45</v>
      </c>
      <c r="J195" s="171">
        <f t="shared" si="61"/>
        <v>217.18582169709987</v>
      </c>
      <c r="K195" s="210">
        <f t="shared" si="62"/>
        <v>9.31</v>
      </c>
      <c r="L195" s="210">
        <f t="shared" si="62"/>
        <v>7.45</v>
      </c>
      <c r="M195" s="210">
        <f t="shared" si="63"/>
        <v>9.31</v>
      </c>
      <c r="N195" s="209">
        <f t="shared" si="63"/>
        <v>7.45</v>
      </c>
      <c r="O195" s="174">
        <f t="shared" si="64"/>
        <v>0</v>
      </c>
      <c r="P195" s="178">
        <f t="shared" si="65"/>
        <v>31.5</v>
      </c>
      <c r="Q195" s="178">
        <f t="shared" si="65"/>
        <v>56.4</v>
      </c>
    </row>
    <row r="196" spans="1:17" ht="25.5" customHeight="1">
      <c r="A196" s="84"/>
      <c r="B196" s="235" t="str">
        <f>калькуляция!B218</f>
        <v>3.1.3.9.3</v>
      </c>
      <c r="C196" s="355" t="str">
        <f>калькуляция!C218</f>
        <v>определение хлорорганических пестицидов в молочной продукции (ТСХ)</v>
      </c>
      <c r="D196" s="231" t="s">
        <v>54</v>
      </c>
      <c r="E196" s="208">
        <f>калькуляция!AE218</f>
        <v>29.53</v>
      </c>
      <c r="F196" s="209">
        <f>калькуляция!BS218</f>
        <v>13.209999999999999</v>
      </c>
      <c r="G196" s="208" t="s">
        <v>981</v>
      </c>
      <c r="H196" s="211">
        <v>9.31</v>
      </c>
      <c r="I196" s="211">
        <v>7.45</v>
      </c>
      <c r="J196" s="171">
        <f t="shared" si="61"/>
        <v>217.18582169709987</v>
      </c>
      <c r="K196" s="210">
        <f t="shared" si="62"/>
        <v>9.31</v>
      </c>
      <c r="L196" s="210">
        <f t="shared" si="62"/>
        <v>7.45</v>
      </c>
      <c r="M196" s="210">
        <f t="shared" si="63"/>
        <v>9.31</v>
      </c>
      <c r="N196" s="209">
        <f t="shared" si="63"/>
        <v>7.45</v>
      </c>
      <c r="O196" s="174">
        <f t="shared" si="64"/>
        <v>0</v>
      </c>
      <c r="P196" s="178">
        <f t="shared" si="65"/>
        <v>31.5</v>
      </c>
      <c r="Q196" s="178">
        <f t="shared" si="65"/>
        <v>56.4</v>
      </c>
    </row>
    <row r="197" spans="1:17" ht="25.5" customHeight="1">
      <c r="A197" s="84"/>
      <c r="B197" s="235" t="str">
        <f>калькуляция!B219</f>
        <v>3.1.3.9.4</v>
      </c>
      <c r="C197" s="355" t="str">
        <f>калькуляция!C219</f>
        <v>определение хлорорганических пестицидов в кондитерских изделиях, меде (ТСХ)</v>
      </c>
      <c r="D197" s="231" t="s">
        <v>54</v>
      </c>
      <c r="E197" s="208">
        <f>калькуляция!AE219</f>
        <v>29.53</v>
      </c>
      <c r="F197" s="209">
        <f>калькуляция!BS219</f>
        <v>13.209999999999999</v>
      </c>
      <c r="G197" s="208" t="s">
        <v>982</v>
      </c>
      <c r="H197" s="211">
        <v>9.31</v>
      </c>
      <c r="I197" s="211">
        <v>7.45</v>
      </c>
      <c r="J197" s="171">
        <f t="shared" si="61"/>
        <v>217.18582169709987</v>
      </c>
      <c r="K197" s="210">
        <f t="shared" si="62"/>
        <v>9.31</v>
      </c>
      <c r="L197" s="210">
        <f t="shared" si="62"/>
        <v>7.45</v>
      </c>
      <c r="M197" s="210">
        <f t="shared" si="63"/>
        <v>9.31</v>
      </c>
      <c r="N197" s="209">
        <f t="shared" si="63"/>
        <v>7.45</v>
      </c>
      <c r="O197" s="174">
        <f t="shared" si="64"/>
        <v>0</v>
      </c>
      <c r="P197" s="178">
        <f t="shared" si="65"/>
        <v>31.5</v>
      </c>
      <c r="Q197" s="178">
        <f t="shared" si="65"/>
        <v>56.4</v>
      </c>
    </row>
    <row r="198" spans="1:17" ht="16.5" customHeight="1">
      <c r="A198" s="84"/>
      <c r="B198" s="235" t="str">
        <f>калькуляция!B220</f>
        <v>3.1.4.3.</v>
      </c>
      <c r="C198" s="355" t="str">
        <f>калькуляция!C220</f>
        <v>определение мышьяка (КФК)</v>
      </c>
      <c r="D198" s="231" t="s">
        <v>54</v>
      </c>
      <c r="E198" s="208">
        <f>калькуляция!AE220</f>
        <v>30.150000000000002</v>
      </c>
      <c r="F198" s="209">
        <f>калькуляция!BS220</f>
        <v>14.470000000000002</v>
      </c>
      <c r="G198" s="208" t="s">
        <v>985</v>
      </c>
      <c r="H198" s="211">
        <v>2.04</v>
      </c>
      <c r="I198" s="211">
        <v>0.21</v>
      </c>
      <c r="J198" s="171">
        <f t="shared" si="61"/>
        <v>1377.9411764705883</v>
      </c>
      <c r="K198" s="210">
        <f t="shared" si="62"/>
        <v>2.04</v>
      </c>
      <c r="L198" s="210">
        <f t="shared" si="62"/>
        <v>0.21</v>
      </c>
      <c r="M198" s="210">
        <f t="shared" si="63"/>
        <v>2.04</v>
      </c>
      <c r="N198" s="209">
        <f t="shared" si="63"/>
        <v>0.21</v>
      </c>
      <c r="O198" s="174">
        <f t="shared" si="64"/>
        <v>0</v>
      </c>
      <c r="P198" s="178">
        <f t="shared" si="65"/>
        <v>6.8</v>
      </c>
      <c r="Q198" s="178">
        <f t="shared" si="65"/>
        <v>1.5</v>
      </c>
    </row>
    <row r="199" spans="1:17" ht="16.5" customHeight="1">
      <c r="A199" s="84"/>
      <c r="B199" s="235" t="str">
        <f>калькуляция!B221</f>
        <v>3.1.4.5.2.</v>
      </c>
      <c r="C199" s="355" t="str">
        <f>калькуляция!C221</f>
        <v>определение ртути (колориметрическим методом)</v>
      </c>
      <c r="D199" s="231" t="s">
        <v>54</v>
      </c>
      <c r="E199" s="208">
        <f>калькуляция!AE221</f>
        <v>34.28</v>
      </c>
      <c r="F199" s="209">
        <f>калькуляция!BS221</f>
        <v>26.68</v>
      </c>
      <c r="G199" s="208" t="s">
        <v>988</v>
      </c>
      <c r="H199" s="211">
        <v>1.53</v>
      </c>
      <c r="I199" s="211">
        <v>0.95</v>
      </c>
      <c r="J199" s="171">
        <f t="shared" si="61"/>
        <v>2140.5228758169937</v>
      </c>
      <c r="K199" s="210">
        <f t="shared" si="62"/>
        <v>1.53</v>
      </c>
      <c r="L199" s="210">
        <f t="shared" si="62"/>
        <v>0.95</v>
      </c>
      <c r="M199" s="210">
        <f t="shared" si="63"/>
        <v>1.53</v>
      </c>
      <c r="N199" s="209">
        <f t="shared" si="63"/>
        <v>0.95</v>
      </c>
      <c r="O199" s="174">
        <f t="shared" si="64"/>
        <v>0</v>
      </c>
      <c r="P199" s="178">
        <f t="shared" si="65"/>
        <v>4.5</v>
      </c>
      <c r="Q199" s="178">
        <f t="shared" si="65"/>
        <v>3.6</v>
      </c>
    </row>
    <row r="200" spans="1:17" ht="17.25" customHeight="1">
      <c r="A200" s="218"/>
      <c r="B200" s="233" t="s">
        <v>55</v>
      </c>
      <c r="C200" s="276" t="s">
        <v>441</v>
      </c>
      <c r="D200" s="281"/>
      <c r="E200" s="208"/>
      <c r="F200" s="209"/>
      <c r="G200" s="208"/>
      <c r="H200" s="211"/>
      <c r="I200" s="211"/>
      <c r="J200" s="171"/>
      <c r="K200" s="210"/>
      <c r="L200" s="210"/>
      <c r="M200" s="210"/>
      <c r="N200" s="209"/>
      <c r="O200" s="174"/>
      <c r="P200" s="178"/>
      <c r="Q200" s="178"/>
    </row>
    <row r="201" spans="1:17" ht="16.5" customHeight="1">
      <c r="A201" s="84"/>
      <c r="B201" s="235" t="s">
        <v>442</v>
      </c>
      <c r="C201" s="279" t="s">
        <v>443</v>
      </c>
      <c r="D201" s="231" t="s">
        <v>54</v>
      </c>
      <c r="E201" s="208">
        <f>калькуляция!AE223</f>
        <v>0.9299999999999999</v>
      </c>
      <c r="F201" s="209">
        <f>калькуляция!BS223</f>
        <v>0</v>
      </c>
      <c r="G201" s="208" t="s">
        <v>774</v>
      </c>
      <c r="H201" s="211">
        <v>3.19</v>
      </c>
      <c r="I201" s="211"/>
      <c r="J201" s="171">
        <f>E201/H201*100-100</f>
        <v>-70.84639498432603</v>
      </c>
      <c r="K201" s="320">
        <f>E201</f>
        <v>0.9299999999999999</v>
      </c>
      <c r="L201" s="320">
        <f>F201</f>
        <v>0</v>
      </c>
      <c r="M201" s="210">
        <f>MIN(E201,K201)</f>
        <v>0.9299999999999999</v>
      </c>
      <c r="N201" s="209">
        <f>MIN(F201,L201)</f>
        <v>0</v>
      </c>
      <c r="O201" s="174">
        <f>M201/H201*100-100</f>
        <v>-70.84639498432603</v>
      </c>
      <c r="P201" s="178">
        <f>ROUND(M201/E201*100,1)</f>
        <v>100</v>
      </c>
      <c r="Q201" s="178" t="e">
        <f>ROUND(N201/F201*100,1)</f>
        <v>#DIV/0!</v>
      </c>
    </row>
    <row r="202" spans="1:17" ht="24" customHeight="1">
      <c r="A202" s="24"/>
      <c r="B202" s="235" t="s">
        <v>444</v>
      </c>
      <c r="C202" s="279" t="s">
        <v>445</v>
      </c>
      <c r="D202" s="231" t="s">
        <v>54</v>
      </c>
      <c r="E202" s="208">
        <f>калькуляция!AE224</f>
        <v>1.78</v>
      </c>
      <c r="F202" s="209">
        <f>калькуляция!BS224</f>
        <v>0.9299999999999999</v>
      </c>
      <c r="G202" s="208" t="s">
        <v>774</v>
      </c>
      <c r="H202" s="211">
        <v>3.19</v>
      </c>
      <c r="I202" s="211"/>
      <c r="J202" s="171">
        <f>E202/H202*100-100</f>
        <v>-44.20062695924764</v>
      </c>
      <c r="K202" s="210">
        <f>ROUND(H202*$A$1,2)</f>
        <v>3.19</v>
      </c>
      <c r="L202" s="210">
        <f>F202</f>
        <v>0.9299999999999999</v>
      </c>
      <c r="M202" s="210">
        <f>MIN(E202,K202)</f>
        <v>1.78</v>
      </c>
      <c r="N202" s="209">
        <f>MIN(F202,L202)</f>
        <v>0.9299999999999999</v>
      </c>
      <c r="O202" s="174">
        <f>M202/H202*100-100</f>
        <v>-44.20062695924764</v>
      </c>
      <c r="P202" s="178">
        <f>ROUND(M202/E202*100,1)</f>
        <v>100</v>
      </c>
      <c r="Q202" s="178">
        <f>ROUND(N202/F202*100,1)</f>
        <v>100</v>
      </c>
    </row>
    <row r="203" spans="1:17" ht="12.75" customHeight="1">
      <c r="A203" s="84"/>
      <c r="B203" s="239" t="s">
        <v>446</v>
      </c>
      <c r="C203" s="272" t="s">
        <v>447</v>
      </c>
      <c r="D203" s="231"/>
      <c r="E203" s="208"/>
      <c r="F203" s="209"/>
      <c r="G203" s="208"/>
      <c r="H203" s="211"/>
      <c r="I203" s="211"/>
      <c r="J203" s="171"/>
      <c r="K203" s="210"/>
      <c r="L203" s="210"/>
      <c r="M203" s="210"/>
      <c r="N203" s="209"/>
      <c r="O203" s="174"/>
      <c r="P203" s="178"/>
      <c r="Q203" s="178"/>
    </row>
    <row r="204" spans="1:17" ht="12.75" customHeight="1">
      <c r="A204" s="84"/>
      <c r="B204" s="237" t="str">
        <f>калькуляция!B226</f>
        <v>4.1.</v>
      </c>
      <c r="C204" s="265" t="str">
        <f>калькуляция!C226</f>
        <v>измерение напряженности электростатического поля</v>
      </c>
      <c r="D204" s="231" t="s">
        <v>54</v>
      </c>
      <c r="E204" s="208">
        <f>калькуляция!AE226</f>
        <v>27.91</v>
      </c>
      <c r="F204" s="209">
        <f>калькуляция!BS226</f>
        <v>16.549999999999997</v>
      </c>
      <c r="G204" s="208" t="s">
        <v>856</v>
      </c>
      <c r="H204" s="211">
        <v>2.1</v>
      </c>
      <c r="I204" s="211">
        <v>1.04</v>
      </c>
      <c r="J204" s="171">
        <f aca="true" t="shared" si="66" ref="J204:J212">E204/H204*100-100</f>
        <v>1229.047619047619</v>
      </c>
      <c r="K204" s="210">
        <f aca="true" t="shared" si="67" ref="K204:K212">ROUND(H204*$A$1,2)</f>
        <v>2.1</v>
      </c>
      <c r="L204" s="210">
        <f>I204</f>
        <v>1.04</v>
      </c>
      <c r="M204" s="210">
        <f aca="true" t="shared" si="68" ref="M204:M212">MIN(E204,K204)</f>
        <v>2.1</v>
      </c>
      <c r="N204" s="209">
        <f aca="true" t="shared" si="69" ref="N204:N212">MIN(F204,L204)</f>
        <v>1.04</v>
      </c>
      <c r="O204" s="174">
        <f aca="true" t="shared" si="70" ref="O204:O212">M204/H204*100-100</f>
        <v>0</v>
      </c>
      <c r="P204" s="178">
        <f aca="true" t="shared" si="71" ref="P204:P212">ROUND(M204/E204*100,1)</f>
        <v>7.5</v>
      </c>
      <c r="Q204" s="178">
        <f aca="true" t="shared" si="72" ref="Q204:Q212">ROUND(N204/F204*100,1)</f>
        <v>6.3</v>
      </c>
    </row>
    <row r="205" spans="1:17" ht="12.75" customHeight="1">
      <c r="A205" s="84"/>
      <c r="B205" s="237" t="str">
        <f>калькуляция!B227</f>
        <v>4.3.</v>
      </c>
      <c r="C205" s="265" t="str">
        <f>калькуляция!C227</f>
        <v>измерение напряженности электрической или магнитной составляющей электромагнитного поля промышленной частоты</v>
      </c>
      <c r="D205" s="231" t="s">
        <v>54</v>
      </c>
      <c r="E205" s="208">
        <f>калькуляция!AE227</f>
        <v>27.14</v>
      </c>
      <c r="F205" s="209">
        <f>калькуляция!BS227</f>
        <v>13.99</v>
      </c>
      <c r="G205" s="208" t="s">
        <v>1003</v>
      </c>
      <c r="H205" s="211">
        <v>9</v>
      </c>
      <c r="I205" s="211">
        <v>4.49</v>
      </c>
      <c r="J205" s="171">
        <f t="shared" si="66"/>
        <v>201.5555555555556</v>
      </c>
      <c r="K205" s="210">
        <f t="shared" si="67"/>
        <v>9</v>
      </c>
      <c r="L205" s="210">
        <f aca="true" t="shared" si="73" ref="L205:L211">I205</f>
        <v>4.49</v>
      </c>
      <c r="M205" s="210">
        <f t="shared" si="68"/>
        <v>9</v>
      </c>
      <c r="N205" s="209">
        <f t="shared" si="69"/>
        <v>4.49</v>
      </c>
      <c r="O205" s="174">
        <f t="shared" si="70"/>
        <v>0</v>
      </c>
      <c r="P205" s="178">
        <f t="shared" si="71"/>
        <v>33.2</v>
      </c>
      <c r="Q205" s="178">
        <f t="shared" si="72"/>
        <v>32.1</v>
      </c>
    </row>
    <row r="206" spans="1:17" ht="12.75">
      <c r="A206" s="84"/>
      <c r="B206" s="237" t="str">
        <f>калькуляция!B228</f>
        <v>4.8.</v>
      </c>
      <c r="C206" s="265" t="str">
        <f>калькуляция!C228</f>
        <v>измерение ультрафиолетового спектра излучения</v>
      </c>
      <c r="D206" s="231" t="s">
        <v>54</v>
      </c>
      <c r="E206" s="208">
        <f>калькуляция!AE228</f>
        <v>31.24</v>
      </c>
      <c r="F206" s="209">
        <f>калькуляция!BS228</f>
        <v>18.089999999999996</v>
      </c>
      <c r="G206" s="208" t="s">
        <v>1004</v>
      </c>
      <c r="H206" s="211">
        <v>4.19</v>
      </c>
      <c r="I206" s="211">
        <v>2.1</v>
      </c>
      <c r="J206" s="171">
        <f t="shared" si="66"/>
        <v>645.5847255369928</v>
      </c>
      <c r="K206" s="210">
        <f t="shared" si="67"/>
        <v>4.19</v>
      </c>
      <c r="L206" s="210">
        <f t="shared" si="73"/>
        <v>2.1</v>
      </c>
      <c r="M206" s="210">
        <f t="shared" si="68"/>
        <v>4.19</v>
      </c>
      <c r="N206" s="209">
        <f t="shared" si="69"/>
        <v>2.1</v>
      </c>
      <c r="O206" s="174">
        <f t="shared" si="70"/>
        <v>0</v>
      </c>
      <c r="P206" s="178">
        <f t="shared" si="71"/>
        <v>13.4</v>
      </c>
      <c r="Q206" s="178">
        <f t="shared" si="72"/>
        <v>11.6</v>
      </c>
    </row>
    <row r="207" spans="1:17" ht="12.75">
      <c r="A207" s="84"/>
      <c r="B207" s="237" t="str">
        <f>калькуляция!B229</f>
        <v>4.9.</v>
      </c>
      <c r="C207" s="265" t="str">
        <f>калькуляция!C229</f>
        <v>измерение естественной или искусственной освещенности</v>
      </c>
      <c r="D207" s="231" t="s">
        <v>54</v>
      </c>
      <c r="E207" s="208">
        <f>калькуляция!AE229</f>
        <v>15.68</v>
      </c>
      <c r="F207" s="209">
        <f>калькуляция!BS229</f>
        <v>7.06</v>
      </c>
      <c r="G207" s="208" t="s">
        <v>795</v>
      </c>
      <c r="H207" s="211">
        <v>1.47</v>
      </c>
      <c r="I207" s="211">
        <v>0.74</v>
      </c>
      <c r="J207" s="171">
        <f t="shared" si="66"/>
        <v>966.6666666666665</v>
      </c>
      <c r="K207" s="210">
        <f t="shared" si="67"/>
        <v>1.47</v>
      </c>
      <c r="L207" s="210">
        <f t="shared" si="73"/>
        <v>0.74</v>
      </c>
      <c r="M207" s="210">
        <f t="shared" si="68"/>
        <v>1.47</v>
      </c>
      <c r="N207" s="209">
        <f t="shared" si="69"/>
        <v>0.74</v>
      </c>
      <c r="O207" s="174">
        <f t="shared" si="70"/>
        <v>0</v>
      </c>
      <c r="P207" s="178">
        <f t="shared" si="71"/>
        <v>9.4</v>
      </c>
      <c r="Q207" s="178">
        <f t="shared" si="72"/>
        <v>10.5</v>
      </c>
    </row>
    <row r="208" spans="1:17" ht="12.75">
      <c r="A208" s="84"/>
      <c r="B208" s="237" t="str">
        <f>калькуляция!B230</f>
        <v>4.12.</v>
      </c>
      <c r="C208" s="265" t="str">
        <f>калькуляция!C230</f>
        <v>измерение температуры или относительной влажности воздуха</v>
      </c>
      <c r="D208" s="231" t="s">
        <v>54</v>
      </c>
      <c r="E208" s="208">
        <f>калькуляция!AE230</f>
        <v>14.129999999999999</v>
      </c>
      <c r="F208" s="209">
        <f>калькуляция!BS230</f>
        <v>7.85</v>
      </c>
      <c r="G208" s="208" t="s">
        <v>796</v>
      </c>
      <c r="H208" s="211">
        <v>1.47</v>
      </c>
      <c r="I208" s="211">
        <v>0.74</v>
      </c>
      <c r="J208" s="171">
        <f t="shared" si="66"/>
        <v>861.2244897959183</v>
      </c>
      <c r="K208" s="210">
        <f t="shared" si="67"/>
        <v>1.47</v>
      </c>
      <c r="L208" s="210">
        <f t="shared" si="73"/>
        <v>0.74</v>
      </c>
      <c r="M208" s="210">
        <f t="shared" si="68"/>
        <v>1.47</v>
      </c>
      <c r="N208" s="209">
        <f t="shared" si="69"/>
        <v>0.74</v>
      </c>
      <c r="O208" s="174">
        <f t="shared" si="70"/>
        <v>0</v>
      </c>
      <c r="P208" s="178">
        <f t="shared" si="71"/>
        <v>10.4</v>
      </c>
      <c r="Q208" s="178">
        <f t="shared" si="72"/>
        <v>9.4</v>
      </c>
    </row>
    <row r="209" spans="1:17" ht="12.75">
      <c r="A209" s="84"/>
      <c r="B209" s="237" t="str">
        <f>калькуляция!B231</f>
        <v>4.16.</v>
      </c>
      <c r="C209" s="265" t="str">
        <f>калькуляция!C231</f>
        <v>измерение эквивалентного и максимального уровней звука</v>
      </c>
      <c r="D209" s="231" t="s">
        <v>54</v>
      </c>
      <c r="E209" s="208">
        <f>калькуляция!AE231</f>
        <v>43.45</v>
      </c>
      <c r="F209" s="209">
        <f>калькуляция!BS231</f>
        <v>22.909999999999997</v>
      </c>
      <c r="G209" s="208" t="s">
        <v>1005</v>
      </c>
      <c r="H209" s="211">
        <v>3.35</v>
      </c>
      <c r="I209" s="211">
        <v>1.66</v>
      </c>
      <c r="J209" s="171">
        <f t="shared" si="66"/>
        <v>1197.0149253731345</v>
      </c>
      <c r="K209" s="210">
        <f t="shared" si="67"/>
        <v>3.35</v>
      </c>
      <c r="L209" s="210">
        <f t="shared" si="73"/>
        <v>1.66</v>
      </c>
      <c r="M209" s="210">
        <f t="shared" si="68"/>
        <v>3.35</v>
      </c>
      <c r="N209" s="209">
        <f t="shared" si="69"/>
        <v>1.66</v>
      </c>
      <c r="O209" s="174">
        <f t="shared" si="70"/>
        <v>0</v>
      </c>
      <c r="P209" s="178">
        <f t="shared" si="71"/>
        <v>7.7</v>
      </c>
      <c r="Q209" s="178">
        <f t="shared" si="72"/>
        <v>7.2</v>
      </c>
    </row>
    <row r="210" spans="1:17" ht="25.5">
      <c r="A210" s="84"/>
      <c r="B210" s="237" t="str">
        <f>калькуляция!B232</f>
        <v>4.17.</v>
      </c>
      <c r="C210" s="265" t="str">
        <f>калькуляция!C232</f>
        <v>измерение корректированного и спектральных уровней вибрации в октавных (третьоктавных) полосах частот</v>
      </c>
      <c r="D210" s="231" t="s">
        <v>54</v>
      </c>
      <c r="E210" s="208">
        <f>калькуляция!AE232</f>
        <v>49.78000000000001</v>
      </c>
      <c r="F210" s="209">
        <f>калькуляция!BS232</f>
        <v>29.250000000000004</v>
      </c>
      <c r="G210" s="208" t="s">
        <v>1006</v>
      </c>
      <c r="H210" s="211">
        <v>4.96</v>
      </c>
      <c r="I210" s="211">
        <v>2.48</v>
      </c>
      <c r="J210" s="171">
        <f t="shared" si="66"/>
        <v>903.6290322580647</v>
      </c>
      <c r="K210" s="210">
        <f t="shared" si="67"/>
        <v>4.96</v>
      </c>
      <c r="L210" s="210">
        <f t="shared" si="73"/>
        <v>2.48</v>
      </c>
      <c r="M210" s="210">
        <f t="shared" si="68"/>
        <v>4.96</v>
      </c>
      <c r="N210" s="209">
        <f t="shared" si="69"/>
        <v>2.48</v>
      </c>
      <c r="O210" s="174">
        <f t="shared" si="70"/>
        <v>0</v>
      </c>
      <c r="P210" s="178">
        <f t="shared" si="71"/>
        <v>10</v>
      </c>
      <c r="Q210" s="178">
        <f t="shared" si="72"/>
        <v>8.5</v>
      </c>
    </row>
    <row r="211" spans="1:17" ht="25.5">
      <c r="A211" s="84"/>
      <c r="B211" s="237" t="str">
        <f>калькуляция!B233</f>
        <v>4.18.</v>
      </c>
      <c r="C211" s="265" t="str">
        <f>калькуляция!C233</f>
        <v>измерение эквивалентных корректированного и спектральных уровней вибрации в октавных (третьоктавных) полосах частот</v>
      </c>
      <c r="D211" s="231" t="s">
        <v>54</v>
      </c>
      <c r="E211" s="208">
        <f>калькуляция!AE233</f>
        <v>56.940000000000005</v>
      </c>
      <c r="F211" s="209">
        <f>калькуляция!BS233</f>
        <v>36.410000000000004</v>
      </c>
      <c r="G211" s="208" t="s">
        <v>1007</v>
      </c>
      <c r="H211" s="211">
        <v>4.96</v>
      </c>
      <c r="I211" s="211">
        <v>2.48</v>
      </c>
      <c r="J211" s="171">
        <f t="shared" si="66"/>
        <v>1047.983870967742</v>
      </c>
      <c r="K211" s="210">
        <f t="shared" si="67"/>
        <v>4.96</v>
      </c>
      <c r="L211" s="210">
        <f t="shared" si="73"/>
        <v>2.48</v>
      </c>
      <c r="M211" s="210">
        <f t="shared" si="68"/>
        <v>4.96</v>
      </c>
      <c r="N211" s="209">
        <f t="shared" si="69"/>
        <v>2.48</v>
      </c>
      <c r="O211" s="174">
        <f t="shared" si="70"/>
        <v>0</v>
      </c>
      <c r="P211" s="178">
        <f t="shared" si="71"/>
        <v>8.7</v>
      </c>
      <c r="Q211" s="178">
        <f t="shared" si="72"/>
        <v>6.8</v>
      </c>
    </row>
    <row r="212" spans="1:17" ht="12.75">
      <c r="A212" s="84"/>
      <c r="B212" s="237" t="str">
        <f>калькуляция!B234</f>
        <v>4.25.</v>
      </c>
      <c r="C212" s="265" t="str">
        <f>калькуляция!C234</f>
        <v>оформление протокола исследований (измерений)</v>
      </c>
      <c r="D212" s="231" t="s">
        <v>54</v>
      </c>
      <c r="E212" s="208">
        <f>калькуляция!AE234</f>
        <v>5.569999999999999</v>
      </c>
      <c r="F212" s="209">
        <f>калькуляция!BS234</f>
        <v>1.8299999999999998</v>
      </c>
      <c r="G212" s="208" t="s">
        <v>774</v>
      </c>
      <c r="H212" s="211">
        <v>3.19</v>
      </c>
      <c r="I212" s="211"/>
      <c r="J212" s="171">
        <f t="shared" si="66"/>
        <v>74.60815047021941</v>
      </c>
      <c r="K212" s="210">
        <f t="shared" si="67"/>
        <v>3.19</v>
      </c>
      <c r="L212" s="378">
        <f>F212</f>
        <v>1.8299999999999998</v>
      </c>
      <c r="M212" s="210">
        <f t="shared" si="68"/>
        <v>3.19</v>
      </c>
      <c r="N212" s="209">
        <f t="shared" si="69"/>
        <v>1.8299999999999998</v>
      </c>
      <c r="O212" s="174">
        <f t="shared" si="70"/>
        <v>0</v>
      </c>
      <c r="P212" s="178">
        <f t="shared" si="71"/>
        <v>57.3</v>
      </c>
      <c r="Q212" s="178">
        <f t="shared" si="72"/>
        <v>100</v>
      </c>
    </row>
    <row r="213" spans="1:17" ht="12.75">
      <c r="A213" s="84"/>
      <c r="B213" s="239" t="s">
        <v>450</v>
      </c>
      <c r="C213" s="272" t="s">
        <v>451</v>
      </c>
      <c r="D213" s="281"/>
      <c r="E213" s="208"/>
      <c r="F213" s="209"/>
      <c r="G213" s="208"/>
      <c r="H213" s="211"/>
      <c r="I213" s="211"/>
      <c r="J213" s="171"/>
      <c r="K213" s="210"/>
      <c r="L213" s="210"/>
      <c r="M213" s="210"/>
      <c r="N213" s="209"/>
      <c r="O213" s="174"/>
      <c r="P213" s="178"/>
      <c r="Q213" s="178"/>
    </row>
    <row r="214" spans="1:17" ht="12.75">
      <c r="A214" s="84"/>
      <c r="B214" s="239" t="s">
        <v>452</v>
      </c>
      <c r="C214" s="272" t="s">
        <v>453</v>
      </c>
      <c r="D214" s="281"/>
      <c r="E214" s="208"/>
      <c r="F214" s="209"/>
      <c r="G214" s="208"/>
      <c r="H214" s="211"/>
      <c r="I214" s="211"/>
      <c r="J214" s="171"/>
      <c r="K214" s="210"/>
      <c r="L214" s="210"/>
      <c r="M214" s="210"/>
      <c r="N214" s="209"/>
      <c r="O214" s="174"/>
      <c r="P214" s="178"/>
      <c r="Q214" s="178"/>
    </row>
    <row r="215" spans="1:17" ht="12.75">
      <c r="A215" s="84"/>
      <c r="B215" s="239" t="s">
        <v>454</v>
      </c>
      <c r="C215" s="272" t="s">
        <v>455</v>
      </c>
      <c r="D215" s="281"/>
      <c r="E215" s="208"/>
      <c r="F215" s="209"/>
      <c r="G215" s="208"/>
      <c r="H215" s="211"/>
      <c r="I215" s="211"/>
      <c r="J215" s="171"/>
      <c r="K215" s="210"/>
      <c r="L215" s="210"/>
      <c r="M215" s="210"/>
      <c r="N215" s="209"/>
      <c r="O215" s="174"/>
      <c r="P215" s="178"/>
      <c r="Q215" s="178"/>
    </row>
    <row r="216" spans="1:17" ht="26.25" customHeight="1">
      <c r="A216" s="84"/>
      <c r="B216" s="237" t="s">
        <v>456</v>
      </c>
      <c r="C216" s="265" t="s">
        <v>457</v>
      </c>
      <c r="D216" s="231" t="s">
        <v>54</v>
      </c>
      <c r="E216" s="208">
        <f>калькуляция!AE238</f>
        <v>4.73</v>
      </c>
      <c r="F216" s="209">
        <f>калькуляция!BS238</f>
        <v>4.73</v>
      </c>
      <c r="G216" s="208" t="s">
        <v>698</v>
      </c>
      <c r="H216" s="211">
        <v>4.34</v>
      </c>
      <c r="I216" s="211">
        <v>3.66</v>
      </c>
      <c r="J216" s="171">
        <f>E216/H216*100-100</f>
        <v>8.986175115207388</v>
      </c>
      <c r="K216" s="210">
        <f>ROUND(H216*$A$1,2)</f>
        <v>4.34</v>
      </c>
      <c r="L216" s="210">
        <f>ROUND(I216*$A$1,2)</f>
        <v>3.66</v>
      </c>
      <c r="M216" s="210">
        <f>MIN(E216,K216)</f>
        <v>4.34</v>
      </c>
      <c r="N216" s="209">
        <f>MIN(F216,L216)</f>
        <v>3.66</v>
      </c>
      <c r="O216" s="174">
        <f>M216/H216*100-100</f>
        <v>0</v>
      </c>
      <c r="P216" s="178">
        <f>ROUND(M216/E216*100,1)</f>
        <v>91.8</v>
      </c>
      <c r="Q216" s="178">
        <f>ROUND(N216/F216*100,1)</f>
        <v>77.4</v>
      </c>
    </row>
    <row r="217" spans="1:17" ht="12.75">
      <c r="A217" s="84"/>
      <c r="B217" s="237" t="s">
        <v>458</v>
      </c>
      <c r="C217" s="265" t="s">
        <v>459</v>
      </c>
      <c r="D217" s="231" t="s">
        <v>54</v>
      </c>
      <c r="E217" s="208">
        <f>калькуляция!AE239</f>
        <v>4.73</v>
      </c>
      <c r="F217" s="209">
        <f>калькуляция!BS239</f>
        <v>4.73</v>
      </c>
      <c r="G217" s="208" t="s">
        <v>479</v>
      </c>
      <c r="H217" s="211">
        <v>6.89</v>
      </c>
      <c r="I217" s="211">
        <v>3.64</v>
      </c>
      <c r="J217" s="171">
        <f>E217/H217*100-100</f>
        <v>-31.349782293178507</v>
      </c>
      <c r="K217" s="210">
        <f>ROUND(H217*$A$1,2)</f>
        <v>6.89</v>
      </c>
      <c r="L217" s="210">
        <f>ROUND(I217*$A$1,2)</f>
        <v>3.64</v>
      </c>
      <c r="M217" s="210">
        <f>MIN(E217,K217)</f>
        <v>4.73</v>
      </c>
      <c r="N217" s="209">
        <f>MIN(F217,L217)</f>
        <v>3.64</v>
      </c>
      <c r="O217" s="174">
        <f>M217/H217*100-100</f>
        <v>-31.349782293178507</v>
      </c>
      <c r="P217" s="178">
        <f>ROUND(M217/E217*100,1)</f>
        <v>100</v>
      </c>
      <c r="Q217" s="178">
        <f>ROUND(N217/F217*100,1)</f>
        <v>77</v>
      </c>
    </row>
    <row r="218" spans="1:17" ht="12.75">
      <c r="A218" s="24"/>
      <c r="B218" s="239" t="s">
        <v>460</v>
      </c>
      <c r="C218" s="272" t="s">
        <v>461</v>
      </c>
      <c r="D218" s="281"/>
      <c r="E218" s="208"/>
      <c r="F218" s="209"/>
      <c r="G218" s="208"/>
      <c r="H218" s="211"/>
      <c r="I218" s="211"/>
      <c r="J218" s="171"/>
      <c r="K218" s="210"/>
      <c r="L218" s="210"/>
      <c r="M218" s="210"/>
      <c r="N218" s="209"/>
      <c r="O218" s="174"/>
      <c r="P218" s="178"/>
      <c r="Q218" s="178"/>
    </row>
    <row r="219" spans="1:17" ht="18.75" customHeight="1">
      <c r="A219" s="84"/>
      <c r="B219" s="237" t="s">
        <v>464</v>
      </c>
      <c r="C219" s="265" t="s">
        <v>465</v>
      </c>
      <c r="D219" s="231" t="s">
        <v>54</v>
      </c>
      <c r="E219" s="208">
        <f>калькуляция!AE241</f>
        <v>14.170000000000002</v>
      </c>
      <c r="F219" s="209">
        <f>калькуляция!BS241</f>
        <v>11.270000000000001</v>
      </c>
      <c r="G219" s="208" t="s">
        <v>797</v>
      </c>
      <c r="H219" s="211">
        <v>1.64</v>
      </c>
      <c r="I219" s="211">
        <v>1.64</v>
      </c>
      <c r="J219" s="171">
        <f>E219/H219*100-100</f>
        <v>764.0243902439026</v>
      </c>
      <c r="K219" s="210">
        <f>ROUND(H219*$A$1,2)</f>
        <v>1.64</v>
      </c>
      <c r="L219" s="210">
        <f>ROUND(I219*$A$1,2)</f>
        <v>1.64</v>
      </c>
      <c r="M219" s="210">
        <f>MIN(E219,K219)</f>
        <v>1.64</v>
      </c>
      <c r="N219" s="209">
        <f>MIN(F219,L219)</f>
        <v>1.64</v>
      </c>
      <c r="O219" s="174">
        <f>M219/H219*100-100</f>
        <v>0</v>
      </c>
      <c r="P219" s="178">
        <f>ROUND(M219/E219*100,1)</f>
        <v>11.6</v>
      </c>
      <c r="Q219" s="178">
        <f>ROUND(N219/F219*100,1)</f>
        <v>14.6</v>
      </c>
    </row>
    <row r="220" spans="1:17" ht="12.75">
      <c r="A220" s="84"/>
      <c r="B220" s="239" t="s">
        <v>39</v>
      </c>
      <c r="C220" s="272" t="s">
        <v>468</v>
      </c>
      <c r="D220" s="281"/>
      <c r="E220" s="208"/>
      <c r="F220" s="209"/>
      <c r="G220" s="208"/>
      <c r="H220" s="211"/>
      <c r="I220" s="211"/>
      <c r="J220" s="171"/>
      <c r="K220" s="210"/>
      <c r="L220" s="210"/>
      <c r="M220" s="210"/>
      <c r="N220" s="209"/>
      <c r="O220" s="174"/>
      <c r="P220" s="178"/>
      <c r="Q220" s="178"/>
    </row>
    <row r="221" spans="1:17" ht="16.5" customHeight="1">
      <c r="A221" s="84"/>
      <c r="B221" s="237" t="s">
        <v>471</v>
      </c>
      <c r="C221" s="265" t="s">
        <v>472</v>
      </c>
      <c r="D221" s="231" t="s">
        <v>54</v>
      </c>
      <c r="E221" s="208">
        <f>калькуляция!AE243</f>
        <v>6.05</v>
      </c>
      <c r="F221" s="209">
        <f>калькуляция!BS243</f>
        <v>0.38000000000000006</v>
      </c>
      <c r="G221" s="208" t="s">
        <v>774</v>
      </c>
      <c r="H221" s="211">
        <v>3.19</v>
      </c>
      <c r="I221" s="211">
        <v>0.38</v>
      </c>
      <c r="J221" s="171">
        <f>E221/H221*100-100</f>
        <v>89.65517241379311</v>
      </c>
      <c r="K221" s="210">
        <f>ROUND(H221*$A$1,2)</f>
        <v>3.19</v>
      </c>
      <c r="L221" s="210">
        <f>ROUND(I221*$A$1,2)</f>
        <v>0.38</v>
      </c>
      <c r="M221" s="210">
        <f>MIN(E221,K221)</f>
        <v>3.19</v>
      </c>
      <c r="N221" s="209">
        <f>MIN(F221,L221)</f>
        <v>0.38</v>
      </c>
      <c r="O221" s="174">
        <f>M221/H221*100-100</f>
        <v>0</v>
      </c>
      <c r="P221" s="178">
        <f>ROUND(M221/E221*100,1)</f>
        <v>52.7</v>
      </c>
      <c r="Q221" s="178">
        <f>ROUND(N221/F221*100,1)</f>
        <v>100</v>
      </c>
    </row>
    <row r="222" spans="1:17" ht="12.75">
      <c r="A222" s="84"/>
      <c r="B222" s="237"/>
      <c r="C222" s="265"/>
      <c r="D222" s="231"/>
      <c r="E222" s="208"/>
      <c r="F222" s="209"/>
      <c r="G222" s="208"/>
      <c r="H222" s="211"/>
      <c r="I222" s="211"/>
      <c r="J222" s="171"/>
      <c r="K222" s="210"/>
      <c r="L222" s="210"/>
      <c r="M222" s="210"/>
      <c r="N222" s="209"/>
      <c r="O222" s="174"/>
      <c r="P222" s="178"/>
      <c r="Q222" s="178"/>
    </row>
    <row r="223" spans="1:17" ht="12.75">
      <c r="A223" s="84"/>
      <c r="B223" s="230" t="s">
        <v>695</v>
      </c>
      <c r="C223" s="277" t="s">
        <v>696</v>
      </c>
      <c r="D223" s="281"/>
      <c r="E223" s="208"/>
      <c r="F223" s="209"/>
      <c r="G223" s="208"/>
      <c r="H223" s="211"/>
      <c r="I223" s="211"/>
      <c r="J223" s="171"/>
      <c r="K223" s="210"/>
      <c r="L223" s="210"/>
      <c r="M223" s="210"/>
      <c r="N223" s="209"/>
      <c r="O223" s="174"/>
      <c r="P223" s="178"/>
      <c r="Q223" s="178"/>
    </row>
    <row r="224" spans="1:17" ht="12.75">
      <c r="A224" s="84"/>
      <c r="B224" s="230" t="s">
        <v>43</v>
      </c>
      <c r="C224" s="277" t="s">
        <v>697</v>
      </c>
      <c r="D224" s="281"/>
      <c r="E224" s="208"/>
      <c r="F224" s="209"/>
      <c r="G224" s="208"/>
      <c r="H224" s="211"/>
      <c r="I224" s="211"/>
      <c r="J224" s="171"/>
      <c r="K224" s="210"/>
      <c r="L224" s="210"/>
      <c r="M224" s="210"/>
      <c r="N224" s="209"/>
      <c r="O224" s="174"/>
      <c r="P224" s="178"/>
      <c r="Q224" s="178"/>
    </row>
    <row r="225" spans="1:17" ht="12.75">
      <c r="A225" s="84"/>
      <c r="B225" s="230" t="s">
        <v>698</v>
      </c>
      <c r="C225" s="277" t="s">
        <v>699</v>
      </c>
      <c r="D225" s="281"/>
      <c r="E225" s="208"/>
      <c r="F225" s="209"/>
      <c r="G225" s="208"/>
      <c r="H225" s="211"/>
      <c r="I225" s="211"/>
      <c r="J225" s="171"/>
      <c r="K225" s="210"/>
      <c r="L225" s="210"/>
      <c r="M225" s="210"/>
      <c r="N225" s="209"/>
      <c r="O225" s="174"/>
      <c r="P225" s="178"/>
      <c r="Q225" s="178"/>
    </row>
    <row r="226" spans="1:17" ht="16.5" customHeight="1">
      <c r="A226" s="84"/>
      <c r="B226" s="231" t="s">
        <v>701</v>
      </c>
      <c r="C226" s="278" t="s">
        <v>702</v>
      </c>
      <c r="D226" s="231" t="s">
        <v>717</v>
      </c>
      <c r="E226" s="208">
        <f>калькуляция!AE247</f>
        <v>0.36000000000000004</v>
      </c>
      <c r="F226" s="209">
        <f>калькуляция!BS247</f>
        <v>0.36000000000000004</v>
      </c>
      <c r="G226" s="208"/>
      <c r="H226" s="211"/>
      <c r="I226" s="211"/>
      <c r="J226" s="171" t="e">
        <f aca="true" t="shared" si="74" ref="J226:J287">E226/H226*100-100</f>
        <v>#DIV/0!</v>
      </c>
      <c r="K226" s="326">
        <f>E226</f>
        <v>0.36000000000000004</v>
      </c>
      <c r="L226" s="326">
        <f>F226</f>
        <v>0.36000000000000004</v>
      </c>
      <c r="M226" s="210">
        <f aca="true" t="shared" si="75" ref="M226:M287">MIN(E226,K226)</f>
        <v>0.36000000000000004</v>
      </c>
      <c r="N226" s="209">
        <f aca="true" t="shared" si="76" ref="N226:N287">MIN(F226,L226)</f>
        <v>0.36000000000000004</v>
      </c>
      <c r="O226" s="174" t="e">
        <f aca="true" t="shared" si="77" ref="O226:O287">M226/H226*100-100</f>
        <v>#DIV/0!</v>
      </c>
      <c r="P226" s="178">
        <f aca="true" t="shared" si="78" ref="P226:P287">ROUND(M226/E226*100,1)</f>
        <v>100</v>
      </c>
      <c r="Q226" s="178">
        <f aca="true" t="shared" si="79" ref="Q226:Q287">ROUND(N226/F226*100,1)</f>
        <v>100</v>
      </c>
    </row>
    <row r="227" spans="1:17" ht="17.25" customHeight="1">
      <c r="A227" s="84"/>
      <c r="B227" s="237" t="s">
        <v>473</v>
      </c>
      <c r="C227" s="265" t="s">
        <v>474</v>
      </c>
      <c r="D227" s="231" t="s">
        <v>718</v>
      </c>
      <c r="E227" s="208">
        <f>калькуляция!AE248</f>
        <v>1.52</v>
      </c>
      <c r="F227" s="209">
        <f>калькуляция!BS248</f>
        <v>0.7700000000000001</v>
      </c>
      <c r="G227" s="208" t="s">
        <v>774</v>
      </c>
      <c r="H227" s="211">
        <v>3.19</v>
      </c>
      <c r="I227" s="211">
        <v>0</v>
      </c>
      <c r="J227" s="171">
        <f t="shared" si="74"/>
        <v>-52.35109717868339</v>
      </c>
      <c r="K227" s="210">
        <f>ROUND(H227*$A$1,2)</f>
        <v>3.19</v>
      </c>
      <c r="L227" s="210">
        <f>F227</f>
        <v>0.7700000000000001</v>
      </c>
      <c r="M227" s="210">
        <f t="shared" si="75"/>
        <v>1.52</v>
      </c>
      <c r="N227" s="209">
        <f t="shared" si="76"/>
        <v>0.7700000000000001</v>
      </c>
      <c r="O227" s="174">
        <f t="shared" si="77"/>
        <v>-52.35109717868339</v>
      </c>
      <c r="P227" s="178">
        <f t="shared" si="78"/>
        <v>100</v>
      </c>
      <c r="Q227" s="178">
        <f t="shared" si="79"/>
        <v>100</v>
      </c>
    </row>
    <row r="228" spans="1:17" ht="24.75" customHeight="1">
      <c r="A228" s="332"/>
      <c r="B228" s="330" t="s">
        <v>475</v>
      </c>
      <c r="C228" s="331" t="s">
        <v>476</v>
      </c>
      <c r="D228" s="313" t="s">
        <v>54</v>
      </c>
      <c r="E228" s="317">
        <f>калькуляция!AE249</f>
        <v>0.26</v>
      </c>
      <c r="F228" s="318">
        <f>калькуляция!BS249</f>
        <v>0.26</v>
      </c>
      <c r="G228" s="333" t="s">
        <v>827</v>
      </c>
      <c r="H228" s="312">
        <v>0.14</v>
      </c>
      <c r="I228" s="312">
        <v>0.14</v>
      </c>
      <c r="J228" s="171">
        <f t="shared" si="74"/>
        <v>85.7142857142857</v>
      </c>
      <c r="K228" s="210">
        <f>ROUND(H228*$A$1,2)</f>
        <v>0.14</v>
      </c>
      <c r="L228" s="320">
        <f>I228</f>
        <v>0.14</v>
      </c>
      <c r="M228" s="210">
        <f t="shared" si="75"/>
        <v>0.14</v>
      </c>
      <c r="N228" s="209">
        <f t="shared" si="76"/>
        <v>0.14</v>
      </c>
      <c r="O228" s="174">
        <f t="shared" si="77"/>
        <v>0</v>
      </c>
      <c r="P228" s="178">
        <f t="shared" si="78"/>
        <v>53.8</v>
      </c>
      <c r="Q228" s="178">
        <f t="shared" si="79"/>
        <v>53.8</v>
      </c>
    </row>
    <row r="229" spans="1:17" ht="12.75">
      <c r="A229" s="24"/>
      <c r="B229" s="233" t="s">
        <v>479</v>
      </c>
      <c r="C229" s="276" t="s">
        <v>480</v>
      </c>
      <c r="D229" s="281"/>
      <c r="E229" s="208"/>
      <c r="F229" s="209"/>
      <c r="G229" s="208"/>
      <c r="H229" s="211"/>
      <c r="I229" s="211"/>
      <c r="J229" s="171"/>
      <c r="K229" s="210"/>
      <c r="L229" s="210"/>
      <c r="M229" s="210"/>
      <c r="N229" s="209"/>
      <c r="O229" s="174"/>
      <c r="P229" s="178"/>
      <c r="Q229" s="178"/>
    </row>
    <row r="230" spans="1:17" ht="40.5" customHeight="1">
      <c r="A230" s="24"/>
      <c r="B230" s="237" t="s">
        <v>481</v>
      </c>
      <c r="C230" s="265" t="s">
        <v>482</v>
      </c>
      <c r="D230" s="231" t="s">
        <v>54</v>
      </c>
      <c r="E230" s="208">
        <f>калькуляция!AE251</f>
        <v>4.96</v>
      </c>
      <c r="F230" s="209">
        <f>калькуляция!BS251</f>
        <v>4.96</v>
      </c>
      <c r="G230" s="311" t="s">
        <v>442</v>
      </c>
      <c r="H230" s="211">
        <v>0.23</v>
      </c>
      <c r="I230" s="211">
        <v>0</v>
      </c>
      <c r="J230" s="171">
        <f t="shared" si="74"/>
        <v>2056.521739130435</v>
      </c>
      <c r="K230" s="210">
        <f aca="true" t="shared" si="80" ref="K230:L232">ROUND(H230*$A$1,2)</f>
        <v>0.23</v>
      </c>
      <c r="L230" s="210">
        <v>0.23</v>
      </c>
      <c r="M230" s="210">
        <f t="shared" si="75"/>
        <v>0.23</v>
      </c>
      <c r="N230" s="209">
        <f t="shared" si="76"/>
        <v>0.23</v>
      </c>
      <c r="O230" s="174">
        <f t="shared" si="77"/>
        <v>0</v>
      </c>
      <c r="P230" s="178">
        <f t="shared" si="78"/>
        <v>4.6</v>
      </c>
      <c r="Q230" s="178">
        <f t="shared" si="79"/>
        <v>4.6</v>
      </c>
    </row>
    <row r="231" spans="1:17" ht="31.5" customHeight="1">
      <c r="A231" s="24"/>
      <c r="B231" s="237" t="s">
        <v>483</v>
      </c>
      <c r="C231" s="265" t="s">
        <v>484</v>
      </c>
      <c r="D231" s="231" t="s">
        <v>54</v>
      </c>
      <c r="E231" s="208">
        <f>калькуляция!AE252</f>
        <v>1.58</v>
      </c>
      <c r="F231" s="209">
        <f>калькуляция!BS252</f>
        <v>1.58</v>
      </c>
      <c r="G231" s="208" t="s">
        <v>802</v>
      </c>
      <c r="H231" s="211">
        <v>0.11</v>
      </c>
      <c r="I231" s="211">
        <v>0</v>
      </c>
      <c r="J231" s="171">
        <f t="shared" si="74"/>
        <v>1336.3636363636365</v>
      </c>
      <c r="K231" s="210">
        <f t="shared" si="80"/>
        <v>0.11</v>
      </c>
      <c r="L231" s="210">
        <v>0.11</v>
      </c>
      <c r="M231" s="210">
        <f t="shared" si="75"/>
        <v>0.11</v>
      </c>
      <c r="N231" s="209">
        <f t="shared" si="76"/>
        <v>0.11</v>
      </c>
      <c r="O231" s="174">
        <f t="shared" si="77"/>
        <v>0</v>
      </c>
      <c r="P231" s="178">
        <f t="shared" si="78"/>
        <v>7</v>
      </c>
      <c r="Q231" s="178">
        <f t="shared" si="79"/>
        <v>7</v>
      </c>
    </row>
    <row r="232" spans="1:17" ht="38.25" customHeight="1">
      <c r="A232" s="84"/>
      <c r="B232" s="237" t="s">
        <v>485</v>
      </c>
      <c r="C232" s="265" t="s">
        <v>486</v>
      </c>
      <c r="D232" s="231" t="s">
        <v>54</v>
      </c>
      <c r="E232" s="208">
        <f>калькуляция!AE253</f>
        <v>1.58</v>
      </c>
      <c r="F232" s="209">
        <f>калькуляция!BS253</f>
        <v>1.58</v>
      </c>
      <c r="G232" s="311" t="s">
        <v>1024</v>
      </c>
      <c r="H232" s="211">
        <v>0.24</v>
      </c>
      <c r="I232" s="211">
        <v>0.24</v>
      </c>
      <c r="J232" s="171">
        <f t="shared" si="74"/>
        <v>558.3333333333334</v>
      </c>
      <c r="K232" s="210">
        <f t="shared" si="80"/>
        <v>0.24</v>
      </c>
      <c r="L232" s="210">
        <f t="shared" si="80"/>
        <v>0.24</v>
      </c>
      <c r="M232" s="210">
        <f t="shared" si="75"/>
        <v>0.24</v>
      </c>
      <c r="N232" s="209">
        <f t="shared" si="76"/>
        <v>0.24</v>
      </c>
      <c r="O232" s="174">
        <f t="shared" si="77"/>
        <v>0</v>
      </c>
      <c r="P232" s="178">
        <f t="shared" si="78"/>
        <v>15.2</v>
      </c>
      <c r="Q232" s="178">
        <f t="shared" si="79"/>
        <v>15.2</v>
      </c>
    </row>
    <row r="233" spans="1:17" ht="27" customHeight="1">
      <c r="A233" s="84"/>
      <c r="B233" s="237" t="s">
        <v>487</v>
      </c>
      <c r="C233" s="265" t="s">
        <v>488</v>
      </c>
      <c r="D233" s="231" t="s">
        <v>54</v>
      </c>
      <c r="E233" s="208">
        <f>калькуляция!AE254</f>
        <v>2.52</v>
      </c>
      <c r="F233" s="209">
        <f>калькуляция!BS254</f>
        <v>2.52</v>
      </c>
      <c r="G233" s="208" t="s">
        <v>1025</v>
      </c>
      <c r="H233" s="211">
        <v>0.51</v>
      </c>
      <c r="I233" s="211">
        <v>0.51</v>
      </c>
      <c r="J233" s="171">
        <f t="shared" si="74"/>
        <v>394.11764705882354</v>
      </c>
      <c r="K233" s="210">
        <f>ROUND(H233*$A$1,2)</f>
        <v>0.51</v>
      </c>
      <c r="L233" s="210">
        <f>ROUND(I233*$A$1,2)</f>
        <v>0.51</v>
      </c>
      <c r="M233" s="210">
        <f t="shared" si="75"/>
        <v>0.51</v>
      </c>
      <c r="N233" s="209">
        <f t="shared" si="76"/>
        <v>0.51</v>
      </c>
      <c r="O233" s="174">
        <f t="shared" si="77"/>
        <v>0</v>
      </c>
      <c r="P233" s="178">
        <f t="shared" si="78"/>
        <v>20.2</v>
      </c>
      <c r="Q233" s="178">
        <f t="shared" si="79"/>
        <v>20.2</v>
      </c>
    </row>
    <row r="234" spans="1:17" ht="30.75" customHeight="1">
      <c r="A234" s="84"/>
      <c r="B234" s="233" t="s">
        <v>489</v>
      </c>
      <c r="C234" s="276" t="s">
        <v>490</v>
      </c>
      <c r="D234" s="281"/>
      <c r="E234" s="208"/>
      <c r="F234" s="209"/>
      <c r="G234" s="208"/>
      <c r="H234" s="211"/>
      <c r="I234" s="211"/>
      <c r="J234" s="171"/>
      <c r="K234" s="210"/>
      <c r="L234" s="210"/>
      <c r="M234" s="210"/>
      <c r="N234" s="209"/>
      <c r="O234" s="174"/>
      <c r="P234" s="178"/>
      <c r="Q234" s="178"/>
    </row>
    <row r="235" spans="1:17" ht="28.5" customHeight="1">
      <c r="A235" s="84"/>
      <c r="B235" s="233" t="s">
        <v>491</v>
      </c>
      <c r="C235" s="276" t="s">
        <v>492</v>
      </c>
      <c r="D235" s="281"/>
      <c r="E235" s="208"/>
      <c r="F235" s="209"/>
      <c r="G235" s="208"/>
      <c r="H235" s="211"/>
      <c r="I235" s="211"/>
      <c r="J235" s="171"/>
      <c r="K235" s="210"/>
      <c r="L235" s="210"/>
      <c r="M235" s="210"/>
      <c r="N235" s="209"/>
      <c r="O235" s="174"/>
      <c r="P235" s="178"/>
      <c r="Q235" s="178"/>
    </row>
    <row r="236" spans="1:17" ht="45" customHeight="1">
      <c r="A236" s="218"/>
      <c r="B236" s="237" t="s">
        <v>493</v>
      </c>
      <c r="C236" s="265" t="s">
        <v>494</v>
      </c>
      <c r="D236" s="231" t="s">
        <v>54</v>
      </c>
      <c r="E236" s="208">
        <f>калькуляция!AE257</f>
        <v>10.07</v>
      </c>
      <c r="F236" s="209">
        <f>калькуляция!BS257</f>
        <v>10.07</v>
      </c>
      <c r="G236" s="208" t="s">
        <v>469</v>
      </c>
      <c r="H236" s="211">
        <v>1.29</v>
      </c>
      <c r="I236" s="211">
        <v>1.04</v>
      </c>
      <c r="J236" s="171">
        <f t="shared" si="74"/>
        <v>680.6201550387597</v>
      </c>
      <c r="K236" s="210">
        <f aca="true" t="shared" si="81" ref="K236:L241">ROUND(H236*$A$1,2)</f>
        <v>1.29</v>
      </c>
      <c r="L236" s="210">
        <f t="shared" si="81"/>
        <v>1.04</v>
      </c>
      <c r="M236" s="210">
        <f t="shared" si="75"/>
        <v>1.29</v>
      </c>
      <c r="N236" s="209">
        <f t="shared" si="76"/>
        <v>1.04</v>
      </c>
      <c r="O236" s="174">
        <f t="shared" si="77"/>
        <v>0</v>
      </c>
      <c r="P236" s="178">
        <f t="shared" si="78"/>
        <v>12.8</v>
      </c>
      <c r="Q236" s="178">
        <f t="shared" si="79"/>
        <v>10.3</v>
      </c>
    </row>
    <row r="237" spans="1:17" ht="55.5" customHeight="1">
      <c r="A237" s="84"/>
      <c r="B237" s="237" t="s">
        <v>495</v>
      </c>
      <c r="C237" s="265" t="s">
        <v>496</v>
      </c>
      <c r="D237" s="231" t="s">
        <v>54</v>
      </c>
      <c r="E237" s="208">
        <f>калькуляция!AE258</f>
        <v>10.07</v>
      </c>
      <c r="F237" s="209">
        <f>калькуляция!BS258</f>
        <v>10.07</v>
      </c>
      <c r="G237" s="208" t="s">
        <v>471</v>
      </c>
      <c r="H237" s="211">
        <v>2.85</v>
      </c>
      <c r="I237" s="211">
        <v>2.28</v>
      </c>
      <c r="J237" s="171">
        <f t="shared" si="74"/>
        <v>253.33333333333331</v>
      </c>
      <c r="K237" s="210">
        <f t="shared" si="81"/>
        <v>2.85</v>
      </c>
      <c r="L237" s="210">
        <f t="shared" si="81"/>
        <v>2.28</v>
      </c>
      <c r="M237" s="210">
        <f t="shared" si="75"/>
        <v>2.85</v>
      </c>
      <c r="N237" s="209">
        <f t="shared" si="76"/>
        <v>2.28</v>
      </c>
      <c r="O237" s="174">
        <f t="shared" si="77"/>
        <v>0</v>
      </c>
      <c r="P237" s="178">
        <f t="shared" si="78"/>
        <v>28.3</v>
      </c>
      <c r="Q237" s="178">
        <f t="shared" si="79"/>
        <v>22.6</v>
      </c>
    </row>
    <row r="238" spans="1:17" ht="39.75" customHeight="1">
      <c r="A238" s="24"/>
      <c r="B238" s="237" t="s">
        <v>497</v>
      </c>
      <c r="C238" s="265" t="s">
        <v>498</v>
      </c>
      <c r="D238" s="231" t="s">
        <v>54</v>
      </c>
      <c r="E238" s="208">
        <f>калькуляция!AE259</f>
        <v>10.94</v>
      </c>
      <c r="F238" s="209">
        <f>калькуляция!BS259</f>
        <v>10.94</v>
      </c>
      <c r="G238" s="208" t="s">
        <v>1060</v>
      </c>
      <c r="H238" s="211">
        <v>1.55</v>
      </c>
      <c r="I238" s="211">
        <v>1.23</v>
      </c>
      <c r="J238" s="171">
        <f t="shared" si="74"/>
        <v>605.8064516129032</v>
      </c>
      <c r="K238" s="210">
        <f t="shared" si="81"/>
        <v>1.55</v>
      </c>
      <c r="L238" s="210">
        <f t="shared" si="81"/>
        <v>1.23</v>
      </c>
      <c r="M238" s="210">
        <f>MIN(E238,K238)</f>
        <v>1.55</v>
      </c>
      <c r="N238" s="209">
        <f>MIN(F238,L238)</f>
        <v>1.23</v>
      </c>
      <c r="O238" s="174">
        <f t="shared" si="77"/>
        <v>0</v>
      </c>
      <c r="P238" s="178">
        <f t="shared" si="78"/>
        <v>14.2</v>
      </c>
      <c r="Q238" s="178">
        <f t="shared" si="79"/>
        <v>11.2</v>
      </c>
    </row>
    <row r="239" spans="1:17" ht="57" customHeight="1">
      <c r="A239" s="24"/>
      <c r="B239" s="237" t="s">
        <v>499</v>
      </c>
      <c r="C239" s="265" t="s">
        <v>500</v>
      </c>
      <c r="D239" s="231" t="s">
        <v>54</v>
      </c>
      <c r="E239" s="208">
        <f>калькуляция!AE260</f>
        <v>10.07</v>
      </c>
      <c r="F239" s="209">
        <f>калькуляция!BS260</f>
        <v>10.07</v>
      </c>
      <c r="G239" s="208" t="s">
        <v>798</v>
      </c>
      <c r="H239" s="211">
        <v>1.39</v>
      </c>
      <c r="I239" s="211">
        <v>1.09</v>
      </c>
      <c r="J239" s="171">
        <f t="shared" si="74"/>
        <v>624.4604316546764</v>
      </c>
      <c r="K239" s="210">
        <f t="shared" si="81"/>
        <v>1.39</v>
      </c>
      <c r="L239" s="210">
        <f t="shared" si="81"/>
        <v>1.09</v>
      </c>
      <c r="M239" s="210">
        <f t="shared" si="75"/>
        <v>1.39</v>
      </c>
      <c r="N239" s="209">
        <f t="shared" si="76"/>
        <v>1.09</v>
      </c>
      <c r="O239" s="174">
        <f t="shared" si="77"/>
        <v>0</v>
      </c>
      <c r="P239" s="178">
        <f t="shared" si="78"/>
        <v>13.8</v>
      </c>
      <c r="Q239" s="178">
        <f t="shared" si="79"/>
        <v>10.8</v>
      </c>
    </row>
    <row r="240" spans="1:17" ht="28.5" customHeight="1">
      <c r="A240" s="24"/>
      <c r="B240" s="237" t="s">
        <v>501</v>
      </c>
      <c r="C240" s="265" t="s">
        <v>502</v>
      </c>
      <c r="D240" s="231" t="s">
        <v>54</v>
      </c>
      <c r="E240" s="208">
        <f>калькуляция!AE261</f>
        <v>7.54</v>
      </c>
      <c r="F240" s="209">
        <f>калькуляция!BS261</f>
        <v>7.54</v>
      </c>
      <c r="G240" s="208" t="s">
        <v>1061</v>
      </c>
      <c r="H240" s="211">
        <v>1.39</v>
      </c>
      <c r="I240" s="211">
        <v>1.09</v>
      </c>
      <c r="J240" s="171">
        <f t="shared" si="74"/>
        <v>442.4460431654676</v>
      </c>
      <c r="K240" s="210">
        <f t="shared" si="81"/>
        <v>1.39</v>
      </c>
      <c r="L240" s="210">
        <f t="shared" si="81"/>
        <v>1.09</v>
      </c>
      <c r="M240" s="210">
        <f>MIN(E240,K240)</f>
        <v>1.39</v>
      </c>
      <c r="N240" s="209">
        <f>MIN(F240,L240)</f>
        <v>1.09</v>
      </c>
      <c r="O240" s="174">
        <f t="shared" si="77"/>
        <v>0</v>
      </c>
      <c r="P240" s="178">
        <f t="shared" si="78"/>
        <v>18.4</v>
      </c>
      <c r="Q240" s="178">
        <f t="shared" si="79"/>
        <v>14.5</v>
      </c>
    </row>
    <row r="241" spans="1:17" ht="34.5" customHeight="1">
      <c r="A241" s="24"/>
      <c r="B241" s="237" t="s">
        <v>503</v>
      </c>
      <c r="C241" s="265" t="s">
        <v>504</v>
      </c>
      <c r="D241" s="231" t="s">
        <v>54</v>
      </c>
      <c r="E241" s="208">
        <f>калькуляция!AE262</f>
        <v>11.14</v>
      </c>
      <c r="F241" s="209">
        <f>калькуляция!BS262</f>
        <v>11.14</v>
      </c>
      <c r="G241" s="208" t="s">
        <v>799</v>
      </c>
      <c r="H241" s="211">
        <v>1.39</v>
      </c>
      <c r="I241" s="211">
        <v>1.09</v>
      </c>
      <c r="J241" s="171">
        <f t="shared" si="74"/>
        <v>701.4388489208635</v>
      </c>
      <c r="K241" s="210">
        <f t="shared" si="81"/>
        <v>1.39</v>
      </c>
      <c r="L241" s="210">
        <f t="shared" si="81"/>
        <v>1.09</v>
      </c>
      <c r="M241" s="210">
        <f t="shared" si="75"/>
        <v>1.39</v>
      </c>
      <c r="N241" s="209">
        <f t="shared" si="76"/>
        <v>1.09</v>
      </c>
      <c r="O241" s="174">
        <f t="shared" si="77"/>
        <v>0</v>
      </c>
      <c r="P241" s="178">
        <f t="shared" si="78"/>
        <v>12.5</v>
      </c>
      <c r="Q241" s="178">
        <f t="shared" si="79"/>
        <v>9.8</v>
      </c>
    </row>
    <row r="242" spans="1:17" ht="30.75" customHeight="1">
      <c r="A242" s="86"/>
      <c r="B242" s="237" t="s">
        <v>505</v>
      </c>
      <c r="C242" s="265" t="s">
        <v>506</v>
      </c>
      <c r="D242" s="231" t="s">
        <v>54</v>
      </c>
      <c r="E242" s="208">
        <f>калькуляция!AE263</f>
        <v>2.77</v>
      </c>
      <c r="F242" s="209">
        <f>калькуляция!BS263</f>
        <v>2.77</v>
      </c>
      <c r="G242" s="208"/>
      <c r="H242" s="211"/>
      <c r="I242" s="211"/>
      <c r="J242" s="171" t="e">
        <f t="shared" si="74"/>
        <v>#DIV/0!</v>
      </c>
      <c r="K242" s="326">
        <f>E242</f>
        <v>2.77</v>
      </c>
      <c r="L242" s="326">
        <f>F242</f>
        <v>2.77</v>
      </c>
      <c r="M242" s="210">
        <f t="shared" si="75"/>
        <v>2.77</v>
      </c>
      <c r="N242" s="209">
        <f t="shared" si="76"/>
        <v>2.77</v>
      </c>
      <c r="O242" s="174" t="e">
        <f t="shared" si="77"/>
        <v>#DIV/0!</v>
      </c>
      <c r="P242" s="178">
        <f t="shared" si="78"/>
        <v>100</v>
      </c>
      <c r="Q242" s="178">
        <f t="shared" si="79"/>
        <v>100</v>
      </c>
    </row>
    <row r="243" spans="1:17" ht="18.75" customHeight="1">
      <c r="A243" s="88"/>
      <c r="B243" s="233" t="s">
        <v>507</v>
      </c>
      <c r="C243" s="276" t="s">
        <v>508</v>
      </c>
      <c r="D243" s="281"/>
      <c r="E243" s="208"/>
      <c r="F243" s="209"/>
      <c r="G243" s="208"/>
      <c r="H243" s="211"/>
      <c r="I243" s="211"/>
      <c r="J243" s="171"/>
      <c r="K243" s="210"/>
      <c r="L243" s="210"/>
      <c r="M243" s="210"/>
      <c r="N243" s="209"/>
      <c r="O243" s="174"/>
      <c r="P243" s="178"/>
      <c r="Q243" s="178"/>
    </row>
    <row r="244" spans="1:17" ht="30" customHeight="1">
      <c r="A244" s="88"/>
      <c r="B244" s="233" t="s">
        <v>509</v>
      </c>
      <c r="C244" s="276" t="s">
        <v>510</v>
      </c>
      <c r="D244" s="281"/>
      <c r="E244" s="208"/>
      <c r="F244" s="209"/>
      <c r="G244" s="208"/>
      <c r="H244" s="211"/>
      <c r="I244" s="211"/>
      <c r="J244" s="171"/>
      <c r="K244" s="210"/>
      <c r="L244" s="210"/>
      <c r="M244" s="210"/>
      <c r="N244" s="209"/>
      <c r="O244" s="174"/>
      <c r="P244" s="178"/>
      <c r="Q244" s="178"/>
    </row>
    <row r="245" spans="1:17" ht="39" customHeight="1">
      <c r="A245" s="88"/>
      <c r="B245" s="237" t="s">
        <v>511</v>
      </c>
      <c r="C245" s="265" t="s">
        <v>694</v>
      </c>
      <c r="D245" s="231" t="s">
        <v>54</v>
      </c>
      <c r="E245" s="208">
        <f>калькуляция!AE266</f>
        <v>4.73</v>
      </c>
      <c r="F245" s="209">
        <f>калькуляция!BS266</f>
        <v>2.81</v>
      </c>
      <c r="G245" s="208" t="s">
        <v>800</v>
      </c>
      <c r="H245" s="211">
        <v>0.43</v>
      </c>
      <c r="I245" s="211">
        <v>0.43</v>
      </c>
      <c r="J245" s="171">
        <f t="shared" si="74"/>
        <v>1000.0000000000002</v>
      </c>
      <c r="K245" s="210">
        <f>ROUND(H245*$A$1,2)</f>
        <v>0.43</v>
      </c>
      <c r="L245" s="210">
        <f>ROUND(I245*$A$1,2)</f>
        <v>0.43</v>
      </c>
      <c r="M245" s="210">
        <f t="shared" si="75"/>
        <v>0.43</v>
      </c>
      <c r="N245" s="209">
        <f t="shared" si="76"/>
        <v>0.43</v>
      </c>
      <c r="O245" s="174">
        <f t="shared" si="77"/>
        <v>0</v>
      </c>
      <c r="P245" s="178">
        <f t="shared" si="78"/>
        <v>9.1</v>
      </c>
      <c r="Q245" s="178">
        <f t="shared" si="79"/>
        <v>15.3</v>
      </c>
    </row>
    <row r="246" spans="1:17" ht="32.25" customHeight="1">
      <c r="A246" s="88"/>
      <c r="B246" s="233" t="s">
        <v>512</v>
      </c>
      <c r="C246" s="276" t="s">
        <v>513</v>
      </c>
      <c r="D246" s="231"/>
      <c r="E246" s="208"/>
      <c r="F246" s="209"/>
      <c r="G246" s="208"/>
      <c r="H246" s="211"/>
      <c r="I246" s="211"/>
      <c r="J246" s="171"/>
      <c r="K246" s="210"/>
      <c r="L246" s="210"/>
      <c r="M246" s="210"/>
      <c r="N246" s="209"/>
      <c r="O246" s="174"/>
      <c r="P246" s="178"/>
      <c r="Q246" s="178"/>
    </row>
    <row r="247" spans="1:17" ht="20.25" customHeight="1">
      <c r="A247" s="88"/>
      <c r="B247" s="330" t="s">
        <v>514</v>
      </c>
      <c r="C247" s="331" t="s">
        <v>515</v>
      </c>
      <c r="D247" s="313" t="s">
        <v>54</v>
      </c>
      <c r="E247" s="317">
        <f>калькуляция!AE268</f>
        <v>6.62</v>
      </c>
      <c r="F247" s="318">
        <f>калькуляция!BS268</f>
        <v>4.02</v>
      </c>
      <c r="G247" s="317" t="s">
        <v>804</v>
      </c>
      <c r="H247" s="312">
        <v>0.5</v>
      </c>
      <c r="I247" s="312">
        <v>0.5</v>
      </c>
      <c r="J247" s="171">
        <f t="shared" si="74"/>
        <v>1224</v>
      </c>
      <c r="K247" s="210">
        <f>ROUND(H247*$A$1,2)</f>
        <v>0.5</v>
      </c>
      <c r="L247" s="210">
        <f>ROUND(I247*$A$1,2)</f>
        <v>0.5</v>
      </c>
      <c r="M247" s="210">
        <f t="shared" si="75"/>
        <v>0.5</v>
      </c>
      <c r="N247" s="209">
        <f t="shared" si="76"/>
        <v>0.5</v>
      </c>
      <c r="O247" s="174">
        <f t="shared" si="77"/>
        <v>0</v>
      </c>
      <c r="P247" s="178">
        <f t="shared" si="78"/>
        <v>7.6</v>
      </c>
      <c r="Q247" s="178">
        <f t="shared" si="79"/>
        <v>12.4</v>
      </c>
    </row>
    <row r="248" spans="1:17" ht="25.5" customHeight="1">
      <c r="A248" s="88"/>
      <c r="B248" s="330" t="s">
        <v>516</v>
      </c>
      <c r="C248" s="331" t="s">
        <v>517</v>
      </c>
      <c r="D248" s="313" t="s">
        <v>54</v>
      </c>
      <c r="E248" s="317">
        <f>калькуляция!AE269</f>
        <v>8.59</v>
      </c>
      <c r="F248" s="318">
        <f>калькуляция!BS269</f>
        <v>5.14</v>
      </c>
      <c r="G248" s="317" t="s">
        <v>804</v>
      </c>
      <c r="H248" s="312">
        <v>0.5</v>
      </c>
      <c r="I248" s="312">
        <v>0.5</v>
      </c>
      <c r="J248" s="171">
        <f t="shared" si="74"/>
        <v>1618</v>
      </c>
      <c r="K248" s="210">
        <f>ROUND(H248*$A$1,2)</f>
        <v>0.5</v>
      </c>
      <c r="L248" s="210">
        <f>ROUND(I248*$A$1,2)</f>
        <v>0.5</v>
      </c>
      <c r="M248" s="210">
        <f t="shared" si="75"/>
        <v>0.5</v>
      </c>
      <c r="N248" s="209">
        <f t="shared" si="76"/>
        <v>0.5</v>
      </c>
      <c r="O248" s="174">
        <f t="shared" si="77"/>
        <v>0</v>
      </c>
      <c r="P248" s="178">
        <f t="shared" si="78"/>
        <v>5.8</v>
      </c>
      <c r="Q248" s="178">
        <f t="shared" si="79"/>
        <v>9.7</v>
      </c>
    </row>
    <row r="249" spans="1:17" ht="28.5" customHeight="1">
      <c r="A249" s="88"/>
      <c r="B249" s="237" t="s">
        <v>518</v>
      </c>
      <c r="C249" s="265" t="s">
        <v>519</v>
      </c>
      <c r="D249" s="231" t="s">
        <v>54</v>
      </c>
      <c r="E249" s="208">
        <f>калькуляция!AE270</f>
        <v>6.62</v>
      </c>
      <c r="F249" s="209">
        <f>калькуляция!BS270</f>
        <v>4.02</v>
      </c>
      <c r="G249" s="208" t="s">
        <v>805</v>
      </c>
      <c r="H249" s="211">
        <v>0.68</v>
      </c>
      <c r="I249" s="211">
        <v>0.68</v>
      </c>
      <c r="J249" s="171">
        <f t="shared" si="74"/>
        <v>873.5294117647059</v>
      </c>
      <c r="K249" s="210">
        <f aca="true" t="shared" si="82" ref="K249:K258">ROUND(H249*$A$1,2)</f>
        <v>0.68</v>
      </c>
      <c r="L249" s="210">
        <f aca="true" t="shared" si="83" ref="L249:L258">ROUND(I249*$A$1,2)</f>
        <v>0.68</v>
      </c>
      <c r="M249" s="210">
        <f t="shared" si="75"/>
        <v>0.68</v>
      </c>
      <c r="N249" s="209">
        <f t="shared" si="76"/>
        <v>0.68</v>
      </c>
      <c r="O249" s="174">
        <f t="shared" si="77"/>
        <v>0</v>
      </c>
      <c r="P249" s="178">
        <f t="shared" si="78"/>
        <v>10.3</v>
      </c>
      <c r="Q249" s="178">
        <f t="shared" si="79"/>
        <v>16.9</v>
      </c>
    </row>
    <row r="250" spans="1:17" ht="27" customHeight="1">
      <c r="A250" s="88"/>
      <c r="B250" s="237" t="s">
        <v>522</v>
      </c>
      <c r="C250" s="265" t="s">
        <v>523</v>
      </c>
      <c r="D250" s="231" t="s">
        <v>54</v>
      </c>
      <c r="E250" s="208">
        <f>калькуляция!AE271</f>
        <v>6.62</v>
      </c>
      <c r="F250" s="209">
        <f>калькуляция!BS271</f>
        <v>4.02</v>
      </c>
      <c r="G250" s="208" t="s">
        <v>807</v>
      </c>
      <c r="H250" s="211">
        <v>0.59</v>
      </c>
      <c r="I250" s="211">
        <v>0.59</v>
      </c>
      <c r="J250" s="171">
        <f t="shared" si="74"/>
        <v>1022.0338983050847</v>
      </c>
      <c r="K250" s="210">
        <f t="shared" si="82"/>
        <v>0.59</v>
      </c>
      <c r="L250" s="210">
        <f t="shared" si="83"/>
        <v>0.59</v>
      </c>
      <c r="M250" s="210">
        <f t="shared" si="75"/>
        <v>0.59</v>
      </c>
      <c r="N250" s="209">
        <f t="shared" si="76"/>
        <v>0.59</v>
      </c>
      <c r="O250" s="174">
        <f t="shared" si="77"/>
        <v>0</v>
      </c>
      <c r="P250" s="178">
        <f t="shared" si="78"/>
        <v>8.9</v>
      </c>
      <c r="Q250" s="178">
        <f t="shared" si="79"/>
        <v>14.7</v>
      </c>
    </row>
    <row r="251" spans="1:17" ht="27.75" customHeight="1">
      <c r="A251" s="86"/>
      <c r="B251" s="237" t="s">
        <v>524</v>
      </c>
      <c r="C251" s="265" t="s">
        <v>525</v>
      </c>
      <c r="D251" s="231" t="s">
        <v>54</v>
      </c>
      <c r="E251" s="208">
        <f>калькуляция!AE272</f>
        <v>6.62</v>
      </c>
      <c r="F251" s="209">
        <f>калькуляция!BS272</f>
        <v>4.02</v>
      </c>
      <c r="G251" s="208" t="s">
        <v>808</v>
      </c>
      <c r="H251" s="211">
        <v>0.5</v>
      </c>
      <c r="I251" s="211">
        <v>0.5</v>
      </c>
      <c r="J251" s="171">
        <f t="shared" si="74"/>
        <v>1224</v>
      </c>
      <c r="K251" s="210">
        <f t="shared" si="82"/>
        <v>0.5</v>
      </c>
      <c r="L251" s="210">
        <f t="shared" si="83"/>
        <v>0.5</v>
      </c>
      <c r="M251" s="210">
        <f t="shared" si="75"/>
        <v>0.5</v>
      </c>
      <c r="N251" s="209">
        <f t="shared" si="76"/>
        <v>0.5</v>
      </c>
      <c r="O251" s="174">
        <f t="shared" si="77"/>
        <v>0</v>
      </c>
      <c r="P251" s="178">
        <f t="shared" si="78"/>
        <v>7.6</v>
      </c>
      <c r="Q251" s="178">
        <f t="shared" si="79"/>
        <v>12.4</v>
      </c>
    </row>
    <row r="252" spans="1:17" ht="22.5" customHeight="1">
      <c r="A252" s="86"/>
      <c r="B252" s="237" t="s">
        <v>526</v>
      </c>
      <c r="C252" s="265" t="s">
        <v>527</v>
      </c>
      <c r="D252" s="231" t="s">
        <v>54</v>
      </c>
      <c r="E252" s="208">
        <f>калькуляция!AE273</f>
        <v>4.73</v>
      </c>
      <c r="F252" s="209">
        <f>калькуляция!BS273</f>
        <v>2.81</v>
      </c>
      <c r="G252" s="208" t="s">
        <v>809</v>
      </c>
      <c r="H252" s="211">
        <v>0.87</v>
      </c>
      <c r="I252" s="211">
        <v>0.87</v>
      </c>
      <c r="J252" s="171">
        <f t="shared" si="74"/>
        <v>443.67816091954023</v>
      </c>
      <c r="K252" s="210">
        <f t="shared" si="82"/>
        <v>0.87</v>
      </c>
      <c r="L252" s="210">
        <f t="shared" si="83"/>
        <v>0.87</v>
      </c>
      <c r="M252" s="210">
        <f t="shared" si="75"/>
        <v>0.87</v>
      </c>
      <c r="N252" s="209">
        <f t="shared" si="76"/>
        <v>0.87</v>
      </c>
      <c r="O252" s="174">
        <f t="shared" si="77"/>
        <v>0</v>
      </c>
      <c r="P252" s="178">
        <f t="shared" si="78"/>
        <v>18.4</v>
      </c>
      <c r="Q252" s="178">
        <f t="shared" si="79"/>
        <v>31</v>
      </c>
    </row>
    <row r="253" spans="1:17" ht="22.5" customHeight="1">
      <c r="A253" s="86"/>
      <c r="B253" s="237" t="s">
        <v>528</v>
      </c>
      <c r="C253" s="265" t="s">
        <v>529</v>
      </c>
      <c r="D253" s="231" t="s">
        <v>54</v>
      </c>
      <c r="E253" s="208">
        <f>калькуляция!AE274</f>
        <v>7.54</v>
      </c>
      <c r="F253" s="209">
        <f>калькуляция!BS274</f>
        <v>4.510000000000001</v>
      </c>
      <c r="G253" s="208" t="s">
        <v>810</v>
      </c>
      <c r="H253" s="211">
        <v>0.87</v>
      </c>
      <c r="I253" s="211">
        <v>0.87</v>
      </c>
      <c r="J253" s="171">
        <f t="shared" si="74"/>
        <v>766.6666666666666</v>
      </c>
      <c r="K253" s="210">
        <f t="shared" si="82"/>
        <v>0.87</v>
      </c>
      <c r="L253" s="210">
        <f t="shared" si="83"/>
        <v>0.87</v>
      </c>
      <c r="M253" s="210">
        <f t="shared" si="75"/>
        <v>0.87</v>
      </c>
      <c r="N253" s="209">
        <f t="shared" si="76"/>
        <v>0.87</v>
      </c>
      <c r="O253" s="174">
        <f t="shared" si="77"/>
        <v>0</v>
      </c>
      <c r="P253" s="178">
        <f t="shared" si="78"/>
        <v>11.5</v>
      </c>
      <c r="Q253" s="178">
        <f t="shared" si="79"/>
        <v>19.3</v>
      </c>
    </row>
    <row r="254" spans="1:17" ht="31.5" customHeight="1">
      <c r="A254" s="86"/>
      <c r="B254" s="237" t="str">
        <f>калькуляция!B275</f>
        <v>6.3.1.10.</v>
      </c>
      <c r="C254" s="237" t="str">
        <f>калькуляция!C275</f>
        <v>установление промышленной стерильности консервов: определение мезофильных аэробных, факультативно-анаэробных и анаэробных микроорганизмов в 1г образца</v>
      </c>
      <c r="D254" s="231" t="s">
        <v>54</v>
      </c>
      <c r="E254" s="208">
        <f>калькуляция!AE275</f>
        <v>11.82</v>
      </c>
      <c r="F254" s="209">
        <f>калькуляция!BS275</f>
        <v>7.06</v>
      </c>
      <c r="G254" s="208"/>
      <c r="H254" s="211"/>
      <c r="I254" s="211"/>
      <c r="J254" s="171" t="e">
        <f>E254/H254*100-100</f>
        <v>#DIV/0!</v>
      </c>
      <c r="K254" s="421">
        <f>E254</f>
        <v>11.82</v>
      </c>
      <c r="L254" s="421">
        <f>F254</f>
        <v>7.06</v>
      </c>
      <c r="M254" s="421">
        <f>MIN(E254,K254)</f>
        <v>11.82</v>
      </c>
      <c r="N254" s="422">
        <f>MIN(F254,L254)</f>
        <v>7.06</v>
      </c>
      <c r="O254" s="174" t="e">
        <f>M254/H254*100-100</f>
        <v>#DIV/0!</v>
      </c>
      <c r="P254" s="178">
        <f>ROUND(M254/E254*100,1)</f>
        <v>100</v>
      </c>
      <c r="Q254" s="178">
        <f>ROUND(N254/F254*100,1)</f>
        <v>100</v>
      </c>
    </row>
    <row r="255" spans="1:17" ht="12.75">
      <c r="A255" s="88"/>
      <c r="B255" s="237" t="s">
        <v>530</v>
      </c>
      <c r="C255" s="265" t="s">
        <v>531</v>
      </c>
      <c r="D255" s="231" t="s">
        <v>54</v>
      </c>
      <c r="E255" s="208">
        <f>калькуляция!AE276</f>
        <v>3.1900000000000004</v>
      </c>
      <c r="F255" s="209">
        <f>калькуляция!BS276</f>
        <v>1.87</v>
      </c>
      <c r="G255" s="208" t="s">
        <v>811</v>
      </c>
      <c r="H255" s="211">
        <v>0.39</v>
      </c>
      <c r="I255" s="211">
        <v>0.39</v>
      </c>
      <c r="J255" s="171">
        <f t="shared" si="74"/>
        <v>717.948717948718</v>
      </c>
      <c r="K255" s="210">
        <f t="shared" si="82"/>
        <v>0.39</v>
      </c>
      <c r="L255" s="210">
        <f t="shared" si="83"/>
        <v>0.39</v>
      </c>
      <c r="M255" s="210">
        <f t="shared" si="75"/>
        <v>0.39</v>
      </c>
      <c r="N255" s="209">
        <f t="shared" si="76"/>
        <v>0.39</v>
      </c>
      <c r="O255" s="174">
        <f t="shared" si="77"/>
        <v>0</v>
      </c>
      <c r="P255" s="178">
        <f t="shared" si="78"/>
        <v>12.2</v>
      </c>
      <c r="Q255" s="178">
        <f t="shared" si="79"/>
        <v>20.9</v>
      </c>
    </row>
    <row r="256" spans="1:17" ht="24.75" customHeight="1">
      <c r="A256" s="88"/>
      <c r="B256" s="237" t="str">
        <f>калькуляция!B277</f>
        <v>6.3.1.12.</v>
      </c>
      <c r="C256" s="237" t="str">
        <f>калькуляция!C277</f>
        <v>определение наличия P. aeruginosa в определенном объеме образца</v>
      </c>
      <c r="D256" s="231" t="s">
        <v>54</v>
      </c>
      <c r="E256" s="208">
        <f>калькуляция!AE277</f>
        <v>5.569999999999999</v>
      </c>
      <c r="F256" s="209">
        <f>калькуляция!BS277</f>
        <v>3.3400000000000003</v>
      </c>
      <c r="G256" s="208"/>
      <c r="H256" s="211"/>
      <c r="I256" s="211"/>
      <c r="J256" s="171" t="e">
        <f>E256/H256*100-100</f>
        <v>#DIV/0!</v>
      </c>
      <c r="K256" s="421">
        <f>E256</f>
        <v>5.569999999999999</v>
      </c>
      <c r="L256" s="421">
        <f>F256</f>
        <v>3.3400000000000003</v>
      </c>
      <c r="M256" s="421">
        <f>MIN(E256,K256)</f>
        <v>5.569999999999999</v>
      </c>
      <c r="N256" s="422">
        <f>MIN(F256,L256)</f>
        <v>3.3400000000000003</v>
      </c>
      <c r="O256" s="174" t="e">
        <f>M256/H256*100-100</f>
        <v>#DIV/0!</v>
      </c>
      <c r="P256" s="178">
        <f>ROUND(M256/E256*100,1)</f>
        <v>100</v>
      </c>
      <c r="Q256" s="178">
        <f>ROUND(N256/F256*100,1)</f>
        <v>100</v>
      </c>
    </row>
    <row r="257" spans="1:17" ht="27.75" customHeight="1">
      <c r="A257" s="86"/>
      <c r="B257" s="237" t="s">
        <v>532</v>
      </c>
      <c r="C257" s="265" t="s">
        <v>533</v>
      </c>
      <c r="D257" s="231" t="s">
        <v>54</v>
      </c>
      <c r="E257" s="208">
        <f>калькуляция!AE278</f>
        <v>7.54</v>
      </c>
      <c r="F257" s="209">
        <f>калькуляция!BS278</f>
        <v>4.510000000000001</v>
      </c>
      <c r="G257" s="208" t="s">
        <v>812</v>
      </c>
      <c r="H257" s="211">
        <v>0.43</v>
      </c>
      <c r="I257" s="211">
        <v>0.43</v>
      </c>
      <c r="J257" s="171">
        <f t="shared" si="74"/>
        <v>1653.4883720930231</v>
      </c>
      <c r="K257" s="210">
        <f t="shared" si="82"/>
        <v>0.43</v>
      </c>
      <c r="L257" s="210">
        <f t="shared" si="83"/>
        <v>0.43</v>
      </c>
      <c r="M257" s="210">
        <f t="shared" si="75"/>
        <v>0.43</v>
      </c>
      <c r="N257" s="209">
        <f t="shared" si="76"/>
        <v>0.43</v>
      </c>
      <c r="O257" s="174">
        <f t="shared" si="77"/>
        <v>0</v>
      </c>
      <c r="P257" s="178">
        <f t="shared" si="78"/>
        <v>5.7</v>
      </c>
      <c r="Q257" s="178">
        <f t="shared" si="79"/>
        <v>9.5</v>
      </c>
    </row>
    <row r="258" spans="1:17" ht="27.75" customHeight="1">
      <c r="A258" s="86"/>
      <c r="B258" s="237" t="s">
        <v>828</v>
      </c>
      <c r="C258" s="238" t="s">
        <v>829</v>
      </c>
      <c r="D258" s="231" t="s">
        <v>54</v>
      </c>
      <c r="E258" s="208">
        <f>калькуляция!AE279</f>
        <v>7.54</v>
      </c>
      <c r="F258" s="209">
        <f>калькуляция!BS279</f>
        <v>4.510000000000001</v>
      </c>
      <c r="G258" s="208" t="s">
        <v>830</v>
      </c>
      <c r="H258" s="211">
        <v>0.98</v>
      </c>
      <c r="I258" s="211">
        <v>0.98</v>
      </c>
      <c r="J258" s="171">
        <f t="shared" si="74"/>
        <v>669.3877551020408</v>
      </c>
      <c r="K258" s="210">
        <f t="shared" si="82"/>
        <v>0.98</v>
      </c>
      <c r="L258" s="210">
        <f t="shared" si="83"/>
        <v>0.98</v>
      </c>
      <c r="M258" s="210">
        <f t="shared" si="75"/>
        <v>0.98</v>
      </c>
      <c r="N258" s="209">
        <f t="shared" si="76"/>
        <v>0.98</v>
      </c>
      <c r="O258" s="174">
        <f t="shared" si="77"/>
        <v>0</v>
      </c>
      <c r="P258" s="178">
        <f t="shared" si="78"/>
        <v>13</v>
      </c>
      <c r="Q258" s="178">
        <f t="shared" si="79"/>
        <v>21.7</v>
      </c>
    </row>
    <row r="259" spans="1:17" ht="27.75" customHeight="1">
      <c r="A259" s="86"/>
      <c r="B259" s="237" t="str">
        <f>калькуляция!B280</f>
        <v>6.3.1.17.</v>
      </c>
      <c r="C259" s="265" t="str">
        <f>калькуляция!C280</f>
        <v>определение иерсиний в определенном количестве образца</v>
      </c>
      <c r="D259" s="231" t="s">
        <v>54</v>
      </c>
      <c r="E259" s="208">
        <f>калькуляция!AE280</f>
        <v>7.54</v>
      </c>
      <c r="F259" s="209">
        <f>калькуляция!BS280</f>
        <v>4.510000000000001</v>
      </c>
      <c r="G259" s="208" t="s">
        <v>1032</v>
      </c>
      <c r="H259" s="211">
        <v>3.57</v>
      </c>
      <c r="I259" s="211">
        <v>3.57</v>
      </c>
      <c r="J259" s="171">
        <f>E259/H259*100-100</f>
        <v>111.2044817927171</v>
      </c>
      <c r="K259" s="210">
        <f>ROUND(H259*$A$1,2)</f>
        <v>3.57</v>
      </c>
      <c r="L259" s="210">
        <f>ROUND(I259*$A$1,2)</f>
        <v>3.57</v>
      </c>
      <c r="M259" s="210">
        <f>MIN(E259,K259)</f>
        <v>3.57</v>
      </c>
      <c r="N259" s="209">
        <f>MIN(F259,L259)</f>
        <v>3.57</v>
      </c>
      <c r="O259" s="174">
        <f>M259/H259*100-100</f>
        <v>0</v>
      </c>
      <c r="P259" s="178">
        <f>ROUND(M259/E259*100,1)</f>
        <v>47.3</v>
      </c>
      <c r="Q259" s="178">
        <f>ROUND(N259/F259*100,1)</f>
        <v>79.2</v>
      </c>
    </row>
    <row r="260" spans="1:17" ht="30.75" customHeight="1">
      <c r="A260" s="88"/>
      <c r="B260" s="328" t="s">
        <v>534</v>
      </c>
      <c r="C260" s="329" t="s">
        <v>535</v>
      </c>
      <c r="D260" s="313"/>
      <c r="E260" s="317"/>
      <c r="F260" s="318"/>
      <c r="G260" s="317"/>
      <c r="H260" s="312"/>
      <c r="I260" s="312"/>
      <c r="J260" s="171"/>
      <c r="K260" s="210"/>
      <c r="L260" s="210"/>
      <c r="M260" s="210"/>
      <c r="N260" s="209"/>
      <c r="O260" s="174"/>
      <c r="P260" s="178"/>
      <c r="Q260" s="178"/>
    </row>
    <row r="261" spans="1:17" ht="21" customHeight="1">
      <c r="A261" s="88"/>
      <c r="B261" s="330" t="s">
        <v>536</v>
      </c>
      <c r="C261" s="331" t="s">
        <v>515</v>
      </c>
      <c r="D261" s="313" t="s">
        <v>54</v>
      </c>
      <c r="E261" s="317">
        <f>калькуляция!AE282</f>
        <v>5.569999999999999</v>
      </c>
      <c r="F261" s="318">
        <f>калькуляция!BS282</f>
        <v>3.3400000000000003</v>
      </c>
      <c r="G261" s="333" t="s">
        <v>1033</v>
      </c>
      <c r="H261" s="312">
        <v>2.49</v>
      </c>
      <c r="I261" s="312">
        <v>2.49</v>
      </c>
      <c r="J261" s="171">
        <f t="shared" si="74"/>
        <v>123.69477911646581</v>
      </c>
      <c r="K261" s="210">
        <f aca="true" t="shared" si="84" ref="K261:L264">ROUND(H261*$A$1,2)</f>
        <v>2.49</v>
      </c>
      <c r="L261" s="210">
        <f t="shared" si="84"/>
        <v>2.49</v>
      </c>
      <c r="M261" s="210">
        <f t="shared" si="75"/>
        <v>2.49</v>
      </c>
      <c r="N261" s="209">
        <f t="shared" si="76"/>
        <v>2.49</v>
      </c>
      <c r="O261" s="174">
        <f t="shared" si="77"/>
        <v>0</v>
      </c>
      <c r="P261" s="178">
        <f t="shared" si="78"/>
        <v>44.7</v>
      </c>
      <c r="Q261" s="178">
        <f t="shared" si="79"/>
        <v>74.6</v>
      </c>
    </row>
    <row r="262" spans="1:17" ht="25.5" customHeight="1">
      <c r="A262" s="88"/>
      <c r="B262" s="330" t="s">
        <v>537</v>
      </c>
      <c r="C262" s="331" t="s">
        <v>517</v>
      </c>
      <c r="D262" s="313" t="s">
        <v>54</v>
      </c>
      <c r="E262" s="317">
        <f>калькуляция!AE283</f>
        <v>7.69</v>
      </c>
      <c r="F262" s="318">
        <f>калькуляция!BS283</f>
        <v>5.41</v>
      </c>
      <c r="G262" s="333" t="s">
        <v>1033</v>
      </c>
      <c r="H262" s="312">
        <v>2.49</v>
      </c>
      <c r="I262" s="312">
        <v>2.49</v>
      </c>
      <c r="J262" s="171">
        <f t="shared" si="74"/>
        <v>208.83534136546183</v>
      </c>
      <c r="K262" s="210">
        <f t="shared" si="84"/>
        <v>2.49</v>
      </c>
      <c r="L262" s="210">
        <f t="shared" si="84"/>
        <v>2.49</v>
      </c>
      <c r="M262" s="210">
        <f>MIN(E262,K262)</f>
        <v>2.49</v>
      </c>
      <c r="N262" s="209">
        <f>MIN(F262,L262)</f>
        <v>2.49</v>
      </c>
      <c r="O262" s="174">
        <f t="shared" si="77"/>
        <v>0</v>
      </c>
      <c r="P262" s="178">
        <f t="shared" si="78"/>
        <v>32.4</v>
      </c>
      <c r="Q262" s="178">
        <f t="shared" si="79"/>
        <v>46</v>
      </c>
    </row>
    <row r="263" spans="1:17" ht="30" customHeight="1">
      <c r="A263" s="84"/>
      <c r="B263" s="237" t="s">
        <v>538</v>
      </c>
      <c r="C263" s="265" t="s">
        <v>539</v>
      </c>
      <c r="D263" s="231" t="s">
        <v>54</v>
      </c>
      <c r="E263" s="208">
        <f>калькуляция!AE284</f>
        <v>5.569999999999999</v>
      </c>
      <c r="F263" s="209">
        <f>калькуляция!BS284</f>
        <v>3.3400000000000003</v>
      </c>
      <c r="G263" s="208" t="s">
        <v>1034</v>
      </c>
      <c r="H263" s="211">
        <v>5.26</v>
      </c>
      <c r="I263" s="211">
        <v>3.92</v>
      </c>
      <c r="J263" s="171">
        <f t="shared" si="74"/>
        <v>5.893536121673009</v>
      </c>
      <c r="K263" s="210">
        <f t="shared" si="84"/>
        <v>5.26</v>
      </c>
      <c r="L263" s="210">
        <f t="shared" si="84"/>
        <v>3.92</v>
      </c>
      <c r="M263" s="210">
        <f>MIN(E263,K263)</f>
        <v>5.26</v>
      </c>
      <c r="N263" s="209">
        <f>MIN(F263,L263)</f>
        <v>3.3400000000000003</v>
      </c>
      <c r="O263" s="174">
        <f t="shared" si="77"/>
        <v>0</v>
      </c>
      <c r="P263" s="178">
        <f t="shared" si="78"/>
        <v>94.4</v>
      </c>
      <c r="Q263" s="178">
        <f t="shared" si="79"/>
        <v>100</v>
      </c>
    </row>
    <row r="264" spans="1:17" ht="22.5" customHeight="1">
      <c r="A264" s="24"/>
      <c r="B264" s="237" t="s">
        <v>540</v>
      </c>
      <c r="C264" s="265" t="s">
        <v>541</v>
      </c>
      <c r="D264" s="231" t="s">
        <v>54</v>
      </c>
      <c r="E264" s="208">
        <f>калькуляция!AE285</f>
        <v>5.569999999999999</v>
      </c>
      <c r="F264" s="209">
        <f>калькуляция!BS285</f>
        <v>3.3400000000000003</v>
      </c>
      <c r="G264" s="208" t="s">
        <v>813</v>
      </c>
      <c r="H264" s="211">
        <v>5.26</v>
      </c>
      <c r="I264" s="211">
        <v>3.92</v>
      </c>
      <c r="J264" s="171">
        <f t="shared" si="74"/>
        <v>5.893536121673009</v>
      </c>
      <c r="K264" s="210">
        <f t="shared" si="84"/>
        <v>5.26</v>
      </c>
      <c r="L264" s="210">
        <f t="shared" si="84"/>
        <v>3.92</v>
      </c>
      <c r="M264" s="210">
        <f t="shared" si="75"/>
        <v>5.26</v>
      </c>
      <c r="N264" s="209">
        <f t="shared" si="76"/>
        <v>3.3400000000000003</v>
      </c>
      <c r="O264" s="174">
        <f t="shared" si="77"/>
        <v>0</v>
      </c>
      <c r="P264" s="178">
        <f t="shared" si="78"/>
        <v>94.4</v>
      </c>
      <c r="Q264" s="178">
        <f t="shared" si="79"/>
        <v>100</v>
      </c>
    </row>
    <row r="265" spans="1:17" ht="21" customHeight="1">
      <c r="A265" s="24"/>
      <c r="B265" s="233" t="s">
        <v>548</v>
      </c>
      <c r="C265" s="276" t="s">
        <v>549</v>
      </c>
      <c r="D265" s="281"/>
      <c r="E265" s="208"/>
      <c r="F265" s="209"/>
      <c r="G265" s="208"/>
      <c r="H265" s="211"/>
      <c r="I265" s="211"/>
      <c r="J265" s="171"/>
      <c r="K265" s="210"/>
      <c r="L265" s="210"/>
      <c r="M265" s="210"/>
      <c r="N265" s="209"/>
      <c r="O265" s="174"/>
      <c r="P265" s="178"/>
      <c r="Q265" s="178"/>
    </row>
    <row r="266" spans="1:17" ht="18.75" customHeight="1">
      <c r="A266" s="24"/>
      <c r="B266" s="330" t="s">
        <v>550</v>
      </c>
      <c r="C266" s="331" t="s">
        <v>545</v>
      </c>
      <c r="D266" s="313" t="s">
        <v>54</v>
      </c>
      <c r="E266" s="317">
        <f>калькуляция!AE287</f>
        <v>2.5999999999999996</v>
      </c>
      <c r="F266" s="318">
        <f>калькуляция!BS287</f>
        <v>1.4900000000000002</v>
      </c>
      <c r="G266" s="317" t="s">
        <v>814</v>
      </c>
      <c r="H266" s="312">
        <v>3.01</v>
      </c>
      <c r="I266" s="312">
        <v>3.01</v>
      </c>
      <c r="J266" s="171">
        <f t="shared" si="74"/>
        <v>-13.621262458471762</v>
      </c>
      <c r="K266" s="210">
        <f aca="true" t="shared" si="85" ref="K266:L269">ROUND(H266*$A$1,2)</f>
        <v>3.01</v>
      </c>
      <c r="L266" s="210">
        <f t="shared" si="85"/>
        <v>3.01</v>
      </c>
      <c r="M266" s="210">
        <f t="shared" si="75"/>
        <v>2.5999999999999996</v>
      </c>
      <c r="N266" s="209">
        <f t="shared" si="76"/>
        <v>1.4900000000000002</v>
      </c>
      <c r="O266" s="174">
        <f t="shared" si="77"/>
        <v>-13.621262458471762</v>
      </c>
      <c r="P266" s="178">
        <f t="shared" si="78"/>
        <v>100</v>
      </c>
      <c r="Q266" s="178">
        <f t="shared" si="79"/>
        <v>100</v>
      </c>
    </row>
    <row r="267" spans="1:17" ht="18.75" customHeight="1">
      <c r="A267" s="84"/>
      <c r="B267" s="330" t="s">
        <v>551</v>
      </c>
      <c r="C267" s="331" t="s">
        <v>547</v>
      </c>
      <c r="D267" s="313" t="s">
        <v>54</v>
      </c>
      <c r="E267" s="317">
        <f>калькуляция!AE288</f>
        <v>3.87</v>
      </c>
      <c r="F267" s="318">
        <f>калькуляция!BS288</f>
        <v>2.77</v>
      </c>
      <c r="G267" s="317" t="s">
        <v>814</v>
      </c>
      <c r="H267" s="312">
        <v>3.01</v>
      </c>
      <c r="I267" s="312">
        <v>3.01</v>
      </c>
      <c r="J267" s="171">
        <f t="shared" si="74"/>
        <v>28.571428571428584</v>
      </c>
      <c r="K267" s="210">
        <f t="shared" si="85"/>
        <v>3.01</v>
      </c>
      <c r="L267" s="210">
        <f t="shared" si="85"/>
        <v>3.01</v>
      </c>
      <c r="M267" s="210">
        <f>MIN(E267,K267)</f>
        <v>3.01</v>
      </c>
      <c r="N267" s="209">
        <f>MIN(F267,L267)</f>
        <v>2.77</v>
      </c>
      <c r="O267" s="174">
        <f t="shared" si="77"/>
        <v>0</v>
      </c>
      <c r="P267" s="178">
        <f t="shared" si="78"/>
        <v>77.8</v>
      </c>
      <c r="Q267" s="178">
        <f t="shared" si="79"/>
        <v>100</v>
      </c>
    </row>
    <row r="268" spans="1:17" ht="18" customHeight="1">
      <c r="A268" s="84"/>
      <c r="B268" s="330" t="s">
        <v>552</v>
      </c>
      <c r="C268" s="331" t="s">
        <v>553</v>
      </c>
      <c r="D268" s="313" t="s">
        <v>54</v>
      </c>
      <c r="E268" s="317">
        <f>калькуляция!AE289</f>
        <v>2.27</v>
      </c>
      <c r="F268" s="318">
        <f>калькуляция!BS289</f>
        <v>1.33</v>
      </c>
      <c r="G268" s="317" t="s">
        <v>1026</v>
      </c>
      <c r="H268" s="312">
        <v>0.78</v>
      </c>
      <c r="I268" s="312">
        <v>0.78</v>
      </c>
      <c r="J268" s="171">
        <f t="shared" si="74"/>
        <v>191.025641025641</v>
      </c>
      <c r="K268" s="210">
        <f t="shared" si="85"/>
        <v>0.78</v>
      </c>
      <c r="L268" s="210">
        <f t="shared" si="85"/>
        <v>0.78</v>
      </c>
      <c r="M268" s="210">
        <f t="shared" si="75"/>
        <v>0.78</v>
      </c>
      <c r="N268" s="209">
        <f t="shared" si="76"/>
        <v>0.78</v>
      </c>
      <c r="O268" s="174">
        <f t="shared" si="77"/>
        <v>0</v>
      </c>
      <c r="P268" s="178">
        <f t="shared" si="78"/>
        <v>34.4</v>
      </c>
      <c r="Q268" s="178">
        <f t="shared" si="79"/>
        <v>58.6</v>
      </c>
    </row>
    <row r="269" spans="1:17" ht="18" customHeight="1">
      <c r="A269" s="84"/>
      <c r="B269" s="330" t="str">
        <f>калькуляция!AG290</f>
        <v>6.3.1.26.</v>
      </c>
      <c r="C269" s="331" t="str">
        <f>калькуляция!AH290</f>
        <v>определение колифагов в воде прямым методом</v>
      </c>
      <c r="D269" s="313" t="s">
        <v>54</v>
      </c>
      <c r="E269" s="317">
        <f>калькуляция!AE290</f>
        <v>6.62</v>
      </c>
      <c r="F269" s="318">
        <f>калькуляция!BS290</f>
        <v>3.93</v>
      </c>
      <c r="G269" s="317" t="s">
        <v>1029</v>
      </c>
      <c r="H269" s="312">
        <v>0.75</v>
      </c>
      <c r="I269" s="312">
        <v>0.75</v>
      </c>
      <c r="J269" s="171">
        <f>E269/H269*100-100</f>
        <v>782.6666666666666</v>
      </c>
      <c r="K269" s="210">
        <f t="shared" si="85"/>
        <v>0.75</v>
      </c>
      <c r="L269" s="210">
        <f t="shared" si="85"/>
        <v>0.75</v>
      </c>
      <c r="M269" s="210">
        <f>MIN(E269,K269)</f>
        <v>0.75</v>
      </c>
      <c r="N269" s="209">
        <f>MIN(F269,L269)</f>
        <v>0.75</v>
      </c>
      <c r="O269" s="174">
        <f>M269/H269*100-100</f>
        <v>0</v>
      </c>
      <c r="P269" s="178">
        <f>ROUND(M269/E269*100,1)</f>
        <v>11.3</v>
      </c>
      <c r="Q269" s="178">
        <f>ROUND(N269/F269*100,1)</f>
        <v>19.1</v>
      </c>
    </row>
    <row r="270" spans="1:17" ht="18" customHeight="1">
      <c r="A270" s="84"/>
      <c r="B270" s="391" t="str">
        <f>калькуляция!AG291</f>
        <v>6.3.1.27.</v>
      </c>
      <c r="C270" s="392" t="str">
        <f>калькуляция!AH291</f>
        <v>обнаружение спор сульфитредуцирующих клостридий в воде:</v>
      </c>
      <c r="D270" s="313"/>
      <c r="E270" s="317"/>
      <c r="F270" s="318"/>
      <c r="G270" s="317"/>
      <c r="H270" s="312"/>
      <c r="I270" s="312"/>
      <c r="J270" s="171"/>
      <c r="K270" s="210"/>
      <c r="L270" s="210"/>
      <c r="M270" s="210"/>
      <c r="N270" s="209"/>
      <c r="O270" s="174"/>
      <c r="P270" s="178"/>
      <c r="Q270" s="178"/>
    </row>
    <row r="271" spans="1:17" ht="18" customHeight="1">
      <c r="A271" s="84"/>
      <c r="B271" s="330" t="str">
        <f>калькуляция!AG292</f>
        <v>6.3.1.27.3.</v>
      </c>
      <c r="C271" s="331" t="str">
        <f>калькуляция!AH292</f>
        <v>прямым посевом</v>
      </c>
      <c r="D271" s="313" t="s">
        <v>54</v>
      </c>
      <c r="E271" s="317">
        <f>калькуляция!AE292</f>
        <v>2.5999999999999996</v>
      </c>
      <c r="F271" s="318">
        <f>калькуляция!BS292</f>
        <v>1.4900000000000002</v>
      </c>
      <c r="G271" s="317"/>
      <c r="H271" s="312"/>
      <c r="I271" s="312"/>
      <c r="J271" s="171" t="e">
        <f>E271/H271*100-100</f>
        <v>#DIV/0!</v>
      </c>
      <c r="K271" s="210">
        <f>E271</f>
        <v>2.5999999999999996</v>
      </c>
      <c r="L271" s="210">
        <f>F271</f>
        <v>1.4900000000000002</v>
      </c>
      <c r="M271" s="210">
        <f>MIN(E271,K271)</f>
        <v>2.5999999999999996</v>
      </c>
      <c r="N271" s="209">
        <f>MIN(F271,L271)</f>
        <v>1.4900000000000002</v>
      </c>
      <c r="O271" s="174" t="e">
        <f>M271/H271*100-100</f>
        <v>#DIV/0!</v>
      </c>
      <c r="P271" s="178">
        <f>ROUND(M271/E271*100,1)</f>
        <v>100</v>
      </c>
      <c r="Q271" s="178">
        <f>ROUND(N271/F271*100,1)</f>
        <v>100</v>
      </c>
    </row>
    <row r="272" spans="1:17" ht="25.5" customHeight="1">
      <c r="A272" s="181"/>
      <c r="B272" s="233" t="s">
        <v>555</v>
      </c>
      <c r="C272" s="276" t="s">
        <v>556</v>
      </c>
      <c r="D272" s="281"/>
      <c r="E272" s="208"/>
      <c r="F272" s="209"/>
      <c r="G272" s="208"/>
      <c r="H272" s="211"/>
      <c r="I272" s="211"/>
      <c r="J272" s="171"/>
      <c r="K272" s="210"/>
      <c r="L272" s="210"/>
      <c r="M272" s="210"/>
      <c r="N272" s="209"/>
      <c r="O272" s="174"/>
      <c r="P272" s="178"/>
      <c r="Q272" s="178"/>
    </row>
    <row r="273" spans="1:17" ht="19.5" customHeight="1">
      <c r="A273" s="181"/>
      <c r="B273" s="237" t="s">
        <v>557</v>
      </c>
      <c r="C273" s="265" t="s">
        <v>545</v>
      </c>
      <c r="D273" s="231" t="s">
        <v>54</v>
      </c>
      <c r="E273" s="208">
        <f>калькуляция!AE294</f>
        <v>2.45</v>
      </c>
      <c r="F273" s="209">
        <f>калькуляция!BS294</f>
        <v>1.4900000000000002</v>
      </c>
      <c r="G273" s="208"/>
      <c r="H273" s="211"/>
      <c r="I273" s="211"/>
      <c r="J273" s="171" t="e">
        <f t="shared" si="74"/>
        <v>#DIV/0!</v>
      </c>
      <c r="K273" s="326">
        <f aca="true" t="shared" si="86" ref="K273:K280">E273</f>
        <v>2.45</v>
      </c>
      <c r="L273" s="326">
        <f aca="true" t="shared" si="87" ref="L273:L280">F273</f>
        <v>1.4900000000000002</v>
      </c>
      <c r="M273" s="210">
        <f t="shared" si="75"/>
        <v>2.45</v>
      </c>
      <c r="N273" s="209">
        <f t="shared" si="76"/>
        <v>1.4900000000000002</v>
      </c>
      <c r="O273" s="174" t="e">
        <f t="shared" si="77"/>
        <v>#DIV/0!</v>
      </c>
      <c r="P273" s="178">
        <f t="shared" si="78"/>
        <v>100</v>
      </c>
      <c r="Q273" s="178">
        <f t="shared" si="79"/>
        <v>100</v>
      </c>
    </row>
    <row r="274" spans="1:17" ht="27.75" customHeight="1">
      <c r="A274" s="181"/>
      <c r="B274" s="237" t="s">
        <v>558</v>
      </c>
      <c r="C274" s="265" t="s">
        <v>559</v>
      </c>
      <c r="D274" s="231" t="s">
        <v>54</v>
      </c>
      <c r="E274" s="208">
        <f>калькуляция!AE295</f>
        <v>5.2299999999999995</v>
      </c>
      <c r="F274" s="209">
        <f>калькуляция!BS295</f>
        <v>4.25</v>
      </c>
      <c r="G274" s="208"/>
      <c r="H274" s="211"/>
      <c r="I274" s="211"/>
      <c r="J274" s="171" t="e">
        <f t="shared" si="74"/>
        <v>#DIV/0!</v>
      </c>
      <c r="K274" s="326">
        <f t="shared" si="86"/>
        <v>5.2299999999999995</v>
      </c>
      <c r="L274" s="326">
        <f t="shared" si="87"/>
        <v>4.25</v>
      </c>
      <c r="M274" s="210">
        <f t="shared" si="75"/>
        <v>5.2299999999999995</v>
      </c>
      <c r="N274" s="209">
        <f t="shared" si="76"/>
        <v>4.25</v>
      </c>
      <c r="O274" s="174" t="e">
        <f t="shared" si="77"/>
        <v>#DIV/0!</v>
      </c>
      <c r="P274" s="178">
        <f t="shared" si="78"/>
        <v>100</v>
      </c>
      <c r="Q274" s="178">
        <f t="shared" si="79"/>
        <v>100</v>
      </c>
    </row>
    <row r="275" spans="2:17" ht="22.5" customHeight="1">
      <c r="B275" s="233" t="s">
        <v>564</v>
      </c>
      <c r="C275" s="276" t="s">
        <v>565</v>
      </c>
      <c r="D275" s="281"/>
      <c r="E275" s="208">
        <f>калькуляция!AE296</f>
        <v>0</v>
      </c>
      <c r="F275" s="209">
        <f>калькуляция!BS296</f>
        <v>0</v>
      </c>
      <c r="G275" s="208"/>
      <c r="H275" s="211"/>
      <c r="I275" s="211"/>
      <c r="J275" s="319"/>
      <c r="K275" s="320"/>
      <c r="L275" s="320"/>
      <c r="M275" s="320"/>
      <c r="N275" s="318"/>
      <c r="O275" s="321"/>
      <c r="P275" s="322"/>
      <c r="Q275" s="322"/>
    </row>
    <row r="276" spans="2:17" ht="20.25" customHeight="1">
      <c r="B276" s="237" t="s">
        <v>566</v>
      </c>
      <c r="C276" s="265" t="s">
        <v>545</v>
      </c>
      <c r="D276" s="231" t="s">
        <v>54</v>
      </c>
      <c r="E276" s="208">
        <f>калькуляция!AE297</f>
        <v>2.45</v>
      </c>
      <c r="F276" s="209">
        <f>калькуляция!BS297</f>
        <v>1.4900000000000002</v>
      </c>
      <c r="G276" s="208"/>
      <c r="H276" s="211"/>
      <c r="I276" s="211"/>
      <c r="J276" s="171" t="e">
        <f t="shared" si="74"/>
        <v>#DIV/0!</v>
      </c>
      <c r="K276" s="326">
        <f t="shared" si="86"/>
        <v>2.45</v>
      </c>
      <c r="L276" s="326">
        <f t="shared" si="87"/>
        <v>1.4900000000000002</v>
      </c>
      <c r="M276" s="210">
        <f t="shared" si="75"/>
        <v>2.45</v>
      </c>
      <c r="N276" s="209">
        <f t="shared" si="76"/>
        <v>1.4900000000000002</v>
      </c>
      <c r="O276" s="174" t="e">
        <f t="shared" si="77"/>
        <v>#DIV/0!</v>
      </c>
      <c r="P276" s="178">
        <f t="shared" si="78"/>
        <v>100</v>
      </c>
      <c r="Q276" s="178">
        <f t="shared" si="79"/>
        <v>100</v>
      </c>
    </row>
    <row r="277" spans="2:17" ht="21" customHeight="1">
      <c r="B277" s="237" t="s">
        <v>567</v>
      </c>
      <c r="C277" s="265" t="s">
        <v>554</v>
      </c>
      <c r="D277" s="231" t="s">
        <v>54</v>
      </c>
      <c r="E277" s="208">
        <f>калькуляция!AE298</f>
        <v>3.77</v>
      </c>
      <c r="F277" s="209">
        <f>калькуляция!BS298</f>
        <v>2.81</v>
      </c>
      <c r="G277" s="208"/>
      <c r="H277" s="211"/>
      <c r="I277" s="211"/>
      <c r="J277" s="171" t="e">
        <f t="shared" si="74"/>
        <v>#DIV/0!</v>
      </c>
      <c r="K277" s="326">
        <f t="shared" si="86"/>
        <v>3.77</v>
      </c>
      <c r="L277" s="326">
        <f t="shared" si="87"/>
        <v>2.81</v>
      </c>
      <c r="M277" s="210">
        <f t="shared" si="75"/>
        <v>3.77</v>
      </c>
      <c r="N277" s="209">
        <f t="shared" si="76"/>
        <v>2.81</v>
      </c>
      <c r="O277" s="174" t="e">
        <f t="shared" si="77"/>
        <v>#DIV/0!</v>
      </c>
      <c r="P277" s="178">
        <f t="shared" si="78"/>
        <v>100</v>
      </c>
      <c r="Q277" s="178">
        <f t="shared" si="79"/>
        <v>100</v>
      </c>
    </row>
    <row r="278" spans="2:17" ht="19.5" customHeight="1">
      <c r="B278" s="233" t="s">
        <v>568</v>
      </c>
      <c r="C278" s="276" t="s">
        <v>569</v>
      </c>
      <c r="D278" s="231"/>
      <c r="E278" s="208"/>
      <c r="F278" s="209"/>
      <c r="G278" s="208"/>
      <c r="H278" s="211"/>
      <c r="I278" s="211"/>
      <c r="J278" s="319"/>
      <c r="K278" s="320"/>
      <c r="L278" s="320"/>
      <c r="M278" s="320"/>
      <c r="N278" s="318"/>
      <c r="O278" s="321"/>
      <c r="P278" s="322"/>
      <c r="Q278" s="322"/>
    </row>
    <row r="279" spans="2:17" ht="21.75" customHeight="1">
      <c r="B279" s="237" t="s">
        <v>570</v>
      </c>
      <c r="C279" s="265" t="s">
        <v>545</v>
      </c>
      <c r="D279" s="231" t="s">
        <v>54</v>
      </c>
      <c r="E279" s="208">
        <f>калькуляция!AE300</f>
        <v>3.12</v>
      </c>
      <c r="F279" s="209">
        <f>калькуляция!BS300</f>
        <v>1.8299999999999998</v>
      </c>
      <c r="G279" s="208"/>
      <c r="H279" s="211"/>
      <c r="I279" s="211"/>
      <c r="J279" s="171" t="e">
        <f t="shared" si="74"/>
        <v>#DIV/0!</v>
      </c>
      <c r="K279" s="326">
        <f t="shared" si="86"/>
        <v>3.12</v>
      </c>
      <c r="L279" s="326">
        <f t="shared" si="87"/>
        <v>1.8299999999999998</v>
      </c>
      <c r="M279" s="210">
        <f t="shared" si="75"/>
        <v>3.12</v>
      </c>
      <c r="N279" s="209">
        <f t="shared" si="76"/>
        <v>1.8299999999999998</v>
      </c>
      <c r="O279" s="174" t="e">
        <f t="shared" si="77"/>
        <v>#DIV/0!</v>
      </c>
      <c r="P279" s="178">
        <f t="shared" si="78"/>
        <v>100</v>
      </c>
      <c r="Q279" s="178">
        <f t="shared" si="79"/>
        <v>100</v>
      </c>
    </row>
    <row r="280" spans="2:17" ht="19.5" customHeight="1">
      <c r="B280" s="237" t="s">
        <v>571</v>
      </c>
      <c r="C280" s="265" t="s">
        <v>554</v>
      </c>
      <c r="D280" s="231" t="s">
        <v>54</v>
      </c>
      <c r="E280" s="208">
        <f>калькуляция!AE301</f>
        <v>5.2299999999999995</v>
      </c>
      <c r="F280" s="209">
        <f>калькуляция!BS301</f>
        <v>4.19</v>
      </c>
      <c r="G280" s="208"/>
      <c r="H280" s="211"/>
      <c r="I280" s="211"/>
      <c r="J280" s="171" t="e">
        <f t="shared" si="74"/>
        <v>#DIV/0!</v>
      </c>
      <c r="K280" s="326">
        <f t="shared" si="86"/>
        <v>5.2299999999999995</v>
      </c>
      <c r="L280" s="326">
        <f t="shared" si="87"/>
        <v>4.19</v>
      </c>
      <c r="M280" s="210">
        <f t="shared" si="75"/>
        <v>5.2299999999999995</v>
      </c>
      <c r="N280" s="209">
        <f t="shared" si="76"/>
        <v>4.19</v>
      </c>
      <c r="O280" s="174" t="e">
        <f t="shared" si="77"/>
        <v>#DIV/0!</v>
      </c>
      <c r="P280" s="178">
        <f t="shared" si="78"/>
        <v>100</v>
      </c>
      <c r="Q280" s="178">
        <f t="shared" si="79"/>
        <v>100</v>
      </c>
    </row>
    <row r="281" spans="2:17" ht="21" customHeight="1">
      <c r="B281" s="233" t="s">
        <v>572</v>
      </c>
      <c r="C281" s="276" t="s">
        <v>573</v>
      </c>
      <c r="D281" s="231"/>
      <c r="E281" s="208"/>
      <c r="F281" s="209"/>
      <c r="G281" s="208"/>
      <c r="H281" s="211"/>
      <c r="I281" s="211"/>
      <c r="J281" s="319"/>
      <c r="K281" s="320"/>
      <c r="L281" s="320"/>
      <c r="M281" s="320"/>
      <c r="N281" s="318"/>
      <c r="O281" s="321"/>
      <c r="P281" s="322"/>
      <c r="Q281" s="322"/>
    </row>
    <row r="282" spans="2:17" ht="18.75" customHeight="1">
      <c r="B282" s="330" t="s">
        <v>574</v>
      </c>
      <c r="C282" s="331" t="s">
        <v>515</v>
      </c>
      <c r="D282" s="313" t="s">
        <v>54</v>
      </c>
      <c r="E282" s="317">
        <f>калькуляция!AE303</f>
        <v>1.6800000000000002</v>
      </c>
      <c r="F282" s="318">
        <f>калькуляция!BS303</f>
        <v>1.11</v>
      </c>
      <c r="G282" s="317" t="s">
        <v>815</v>
      </c>
      <c r="H282" s="312">
        <v>2.44</v>
      </c>
      <c r="I282" s="312">
        <v>2.44</v>
      </c>
      <c r="J282" s="171">
        <f t="shared" si="74"/>
        <v>-31.147540983606547</v>
      </c>
      <c r="K282" s="210">
        <f>ROUND(H282*$A$1,2)</f>
        <v>2.44</v>
      </c>
      <c r="L282" s="210">
        <f>ROUND(I282*$A$1,2)</f>
        <v>2.44</v>
      </c>
      <c r="M282" s="210">
        <f t="shared" si="75"/>
        <v>1.6800000000000002</v>
      </c>
      <c r="N282" s="209">
        <f t="shared" si="76"/>
        <v>1.11</v>
      </c>
      <c r="O282" s="174">
        <f t="shared" si="77"/>
        <v>-31.147540983606547</v>
      </c>
      <c r="P282" s="178">
        <f t="shared" si="78"/>
        <v>100</v>
      </c>
      <c r="Q282" s="178">
        <f t="shared" si="79"/>
        <v>100</v>
      </c>
    </row>
    <row r="283" spans="2:17" ht="18.75" customHeight="1">
      <c r="B283" s="330" t="s">
        <v>575</v>
      </c>
      <c r="C283" s="331" t="s">
        <v>559</v>
      </c>
      <c r="D283" s="313" t="s">
        <v>54</v>
      </c>
      <c r="E283" s="317">
        <f>калькуляция!AE304</f>
        <v>3.3400000000000003</v>
      </c>
      <c r="F283" s="318">
        <f>калькуляция!BS304</f>
        <v>2.77</v>
      </c>
      <c r="G283" s="317" t="s">
        <v>815</v>
      </c>
      <c r="H283" s="312">
        <v>2.44</v>
      </c>
      <c r="I283" s="312">
        <v>2.44</v>
      </c>
      <c r="J283" s="171">
        <f t="shared" si="74"/>
        <v>36.885245901639365</v>
      </c>
      <c r="K283" s="320">
        <f>E283</f>
        <v>3.3400000000000003</v>
      </c>
      <c r="L283" s="320">
        <f>F283</f>
        <v>2.77</v>
      </c>
      <c r="M283" s="210">
        <f>H283</f>
        <v>2.44</v>
      </c>
      <c r="N283" s="209">
        <f>I283</f>
        <v>2.44</v>
      </c>
      <c r="O283" s="174">
        <f t="shared" si="77"/>
        <v>0</v>
      </c>
      <c r="P283" s="178">
        <f t="shared" si="78"/>
        <v>73.1</v>
      </c>
      <c r="Q283" s="178">
        <f t="shared" si="79"/>
        <v>88.1</v>
      </c>
    </row>
    <row r="284" spans="2:17" ht="18.75" customHeight="1">
      <c r="B284" s="237" t="s">
        <v>576</v>
      </c>
      <c r="C284" s="265" t="s">
        <v>577</v>
      </c>
      <c r="D284" s="231" t="s">
        <v>54</v>
      </c>
      <c r="E284" s="208">
        <f>калькуляция!AE305</f>
        <v>2.45</v>
      </c>
      <c r="F284" s="209">
        <f>калькуляция!BS305</f>
        <v>1.4900000000000002</v>
      </c>
      <c r="G284" s="208"/>
      <c r="H284" s="211"/>
      <c r="I284" s="211"/>
      <c r="J284" s="171" t="e">
        <f t="shared" si="74"/>
        <v>#DIV/0!</v>
      </c>
      <c r="K284" s="390">
        <f>E284</f>
        <v>2.45</v>
      </c>
      <c r="L284" s="390">
        <f>F284</f>
        <v>1.4900000000000002</v>
      </c>
      <c r="M284" s="210">
        <f t="shared" si="75"/>
        <v>2.45</v>
      </c>
      <c r="N284" s="209">
        <f t="shared" si="76"/>
        <v>1.4900000000000002</v>
      </c>
      <c r="O284" s="174" t="e">
        <f t="shared" si="77"/>
        <v>#DIV/0!</v>
      </c>
      <c r="P284" s="178">
        <f t="shared" si="78"/>
        <v>100</v>
      </c>
      <c r="Q284" s="178">
        <f t="shared" si="79"/>
        <v>100</v>
      </c>
    </row>
    <row r="285" spans="2:17" ht="29.25" customHeight="1">
      <c r="B285" s="233" t="s">
        <v>578</v>
      </c>
      <c r="C285" s="276" t="s">
        <v>579</v>
      </c>
      <c r="D285" s="282"/>
      <c r="E285" s="208"/>
      <c r="F285" s="209"/>
      <c r="G285" s="208"/>
      <c r="H285" s="211"/>
      <c r="I285" s="211"/>
      <c r="J285" s="171"/>
      <c r="K285" s="210"/>
      <c r="L285" s="210"/>
      <c r="M285" s="210"/>
      <c r="N285" s="209"/>
      <c r="O285" s="174"/>
      <c r="P285" s="178"/>
      <c r="Q285" s="178"/>
    </row>
    <row r="286" spans="2:17" ht="21.75" customHeight="1">
      <c r="B286" s="237" t="s">
        <v>580</v>
      </c>
      <c r="C286" s="265" t="s">
        <v>515</v>
      </c>
      <c r="D286" s="231" t="s">
        <v>54</v>
      </c>
      <c r="E286" s="208">
        <f>калькуляция!AE307</f>
        <v>3.1900000000000004</v>
      </c>
      <c r="F286" s="209">
        <f>калькуляция!BS307</f>
        <v>1.87</v>
      </c>
      <c r="G286" s="208"/>
      <c r="H286" s="211"/>
      <c r="I286" s="211"/>
      <c r="J286" s="171" t="e">
        <f t="shared" si="74"/>
        <v>#DIV/0!</v>
      </c>
      <c r="K286" s="326">
        <f>E286</f>
        <v>3.1900000000000004</v>
      </c>
      <c r="L286" s="326">
        <f>F286</f>
        <v>1.87</v>
      </c>
      <c r="M286" s="210">
        <f t="shared" si="75"/>
        <v>3.1900000000000004</v>
      </c>
      <c r="N286" s="209">
        <f t="shared" si="76"/>
        <v>1.87</v>
      </c>
      <c r="O286" s="174" t="e">
        <f t="shared" si="77"/>
        <v>#DIV/0!</v>
      </c>
      <c r="P286" s="178">
        <f t="shared" si="78"/>
        <v>100</v>
      </c>
      <c r="Q286" s="178">
        <f t="shared" si="79"/>
        <v>100</v>
      </c>
    </row>
    <row r="287" spans="2:17" ht="17.25" customHeight="1">
      <c r="B287" s="237" t="s">
        <v>581</v>
      </c>
      <c r="C287" s="265" t="s">
        <v>582</v>
      </c>
      <c r="D287" s="231" t="s">
        <v>54</v>
      </c>
      <c r="E287" s="208">
        <f>калькуляция!AE308</f>
        <v>5.109999999999999</v>
      </c>
      <c r="F287" s="209">
        <f>калькуляция!BS308</f>
        <v>3.77</v>
      </c>
      <c r="G287" s="208"/>
      <c r="H287" s="211"/>
      <c r="I287" s="211"/>
      <c r="J287" s="171" t="e">
        <f t="shared" si="74"/>
        <v>#DIV/0!</v>
      </c>
      <c r="K287" s="326">
        <f>E287</f>
        <v>5.109999999999999</v>
      </c>
      <c r="L287" s="326">
        <f>F287</f>
        <v>3.77</v>
      </c>
      <c r="M287" s="210">
        <f t="shared" si="75"/>
        <v>5.109999999999999</v>
      </c>
      <c r="N287" s="209">
        <f t="shared" si="76"/>
        <v>3.77</v>
      </c>
      <c r="O287" s="174" t="e">
        <f t="shared" si="77"/>
        <v>#DIV/0!</v>
      </c>
      <c r="P287" s="178">
        <f t="shared" si="78"/>
        <v>100</v>
      </c>
      <c r="Q287" s="178">
        <f t="shared" si="79"/>
        <v>100</v>
      </c>
    </row>
    <row r="288" spans="2:17" ht="18" customHeight="1">
      <c r="B288" s="233" t="s">
        <v>583</v>
      </c>
      <c r="C288" s="276" t="s">
        <v>584</v>
      </c>
      <c r="D288" s="282"/>
      <c r="E288" s="208"/>
      <c r="F288" s="209"/>
      <c r="G288" s="208"/>
      <c r="H288" s="211"/>
      <c r="I288" s="211"/>
      <c r="J288" s="171"/>
      <c r="K288" s="210"/>
      <c r="L288" s="210"/>
      <c r="M288" s="210"/>
      <c r="N288" s="209"/>
      <c r="O288" s="174"/>
      <c r="P288" s="178"/>
      <c r="Q288" s="178"/>
    </row>
    <row r="289" spans="2:17" ht="21.75" customHeight="1">
      <c r="B289" s="237" t="s">
        <v>585</v>
      </c>
      <c r="C289" s="265" t="s">
        <v>515</v>
      </c>
      <c r="D289" s="231" t="s">
        <v>54</v>
      </c>
      <c r="E289" s="208">
        <f>калькуляция!AE310</f>
        <v>1.87</v>
      </c>
      <c r="F289" s="209">
        <f>калькуляция!BS310</f>
        <v>1.33</v>
      </c>
      <c r="G289" s="208"/>
      <c r="H289" s="211"/>
      <c r="I289" s="211"/>
      <c r="J289" s="171" t="e">
        <f>E289/H289*100-100</f>
        <v>#DIV/0!</v>
      </c>
      <c r="K289" s="326">
        <f>E289</f>
        <v>1.87</v>
      </c>
      <c r="L289" s="326">
        <f>F289</f>
        <v>1.33</v>
      </c>
      <c r="M289" s="210">
        <f>MIN(E289,K289)</f>
        <v>1.87</v>
      </c>
      <c r="N289" s="209">
        <f>MIN(F289,L289)</f>
        <v>1.33</v>
      </c>
      <c r="O289" s="174" t="e">
        <f>M289/H289*100-100</f>
        <v>#DIV/0!</v>
      </c>
      <c r="P289" s="178">
        <f>ROUND(M289/E289*100,1)</f>
        <v>100</v>
      </c>
      <c r="Q289" s="178">
        <f>ROUND(N289/F289*100,1)</f>
        <v>100</v>
      </c>
    </row>
    <row r="290" spans="2:17" ht="25.5" customHeight="1">
      <c r="B290" s="237" t="s">
        <v>586</v>
      </c>
      <c r="C290" s="265" t="s">
        <v>587</v>
      </c>
      <c r="D290" s="231" t="s">
        <v>54</v>
      </c>
      <c r="E290" s="208">
        <f>калькуляция!AE311</f>
        <v>4.19</v>
      </c>
      <c r="F290" s="209">
        <f>калькуляция!BS311</f>
        <v>3.15</v>
      </c>
      <c r="G290" s="208"/>
      <c r="H290" s="211"/>
      <c r="I290" s="211"/>
      <c r="J290" s="171" t="e">
        <f>E290/H290*100-100</f>
        <v>#DIV/0!</v>
      </c>
      <c r="K290" s="326">
        <f>E290</f>
        <v>4.19</v>
      </c>
      <c r="L290" s="326">
        <f>F290</f>
        <v>3.15</v>
      </c>
      <c r="M290" s="210">
        <f>MIN(E290,K290)</f>
        <v>4.19</v>
      </c>
      <c r="N290" s="209">
        <f>MIN(F290,L290)</f>
        <v>3.15</v>
      </c>
      <c r="O290" s="174" t="e">
        <f>M290/H290*100-100</f>
        <v>#DIV/0!</v>
      </c>
      <c r="P290" s="178">
        <f>ROUND(M290/E290*100,1)</f>
        <v>100</v>
      </c>
      <c r="Q290" s="178">
        <f>ROUND(N290/F290*100,1)</f>
        <v>100</v>
      </c>
    </row>
    <row r="291" spans="2:17" ht="18.75" customHeight="1">
      <c r="B291" s="233" t="s">
        <v>592</v>
      </c>
      <c r="C291" s="276" t="s">
        <v>593</v>
      </c>
      <c r="D291" s="282"/>
      <c r="E291" s="208"/>
      <c r="F291" s="209"/>
      <c r="G291" s="208"/>
      <c r="H291" s="211"/>
      <c r="I291" s="211"/>
      <c r="J291" s="319"/>
      <c r="K291" s="320"/>
      <c r="L291" s="320"/>
      <c r="M291" s="320"/>
      <c r="N291" s="318"/>
      <c r="O291" s="321"/>
      <c r="P291" s="322"/>
      <c r="Q291" s="322"/>
    </row>
    <row r="292" spans="2:17" ht="19.5" customHeight="1">
      <c r="B292" s="237" t="s">
        <v>594</v>
      </c>
      <c r="C292" s="265" t="s">
        <v>515</v>
      </c>
      <c r="D292" s="231" t="s">
        <v>54</v>
      </c>
      <c r="E292" s="208">
        <f>калькуляция!AE313</f>
        <v>2.2399999999999998</v>
      </c>
      <c r="F292" s="209">
        <f>калькуляция!BS313</f>
        <v>1.4900000000000002</v>
      </c>
      <c r="G292" s="208"/>
      <c r="H292" s="211"/>
      <c r="I292" s="211"/>
      <c r="J292" s="171" t="e">
        <f>E292/H292*100-100</f>
        <v>#DIV/0!</v>
      </c>
      <c r="K292" s="326">
        <f aca="true" t="shared" si="88" ref="K292:L299">E292</f>
        <v>2.2399999999999998</v>
      </c>
      <c r="L292" s="326">
        <f t="shared" si="88"/>
        <v>1.4900000000000002</v>
      </c>
      <c r="M292" s="210">
        <f aca="true" t="shared" si="89" ref="M292:N299">MIN(E292,K292)</f>
        <v>2.2399999999999998</v>
      </c>
      <c r="N292" s="209">
        <f t="shared" si="89"/>
        <v>1.4900000000000002</v>
      </c>
      <c r="O292" s="174" t="e">
        <f aca="true" t="shared" si="90" ref="O292:O299">M292/H292*100-100</f>
        <v>#DIV/0!</v>
      </c>
      <c r="P292" s="178">
        <f aca="true" t="shared" si="91" ref="P292:Q299">ROUND(M292/E292*100,1)</f>
        <v>100</v>
      </c>
      <c r="Q292" s="178">
        <f t="shared" si="91"/>
        <v>100</v>
      </c>
    </row>
    <row r="293" spans="2:17" ht="25.5" customHeight="1">
      <c r="B293" s="237" t="s">
        <v>595</v>
      </c>
      <c r="C293" s="265" t="s">
        <v>587</v>
      </c>
      <c r="D293" s="231" t="s">
        <v>54</v>
      </c>
      <c r="E293" s="208">
        <f>калькуляция!AE314</f>
        <v>3.73</v>
      </c>
      <c r="F293" s="209">
        <f>калькуляция!BS314</f>
        <v>2.55</v>
      </c>
      <c r="G293" s="208"/>
      <c r="H293" s="211"/>
      <c r="I293" s="211"/>
      <c r="J293" s="171" t="e">
        <f>E293/H293*100-100</f>
        <v>#DIV/0!</v>
      </c>
      <c r="K293" s="326">
        <f t="shared" si="88"/>
        <v>3.73</v>
      </c>
      <c r="L293" s="326">
        <f t="shared" si="88"/>
        <v>2.55</v>
      </c>
      <c r="M293" s="210">
        <f t="shared" si="89"/>
        <v>3.73</v>
      </c>
      <c r="N293" s="209">
        <f t="shared" si="89"/>
        <v>2.55</v>
      </c>
      <c r="O293" s="174" t="e">
        <f t="shared" si="90"/>
        <v>#DIV/0!</v>
      </c>
      <c r="P293" s="178">
        <f t="shared" si="91"/>
        <v>100</v>
      </c>
      <c r="Q293" s="178">
        <f t="shared" si="91"/>
        <v>100</v>
      </c>
    </row>
    <row r="294" spans="2:17" ht="20.25" customHeight="1">
      <c r="B294" s="237" t="str">
        <f>калькуляция!B315</f>
        <v>6.3.1.47.</v>
      </c>
      <c r="C294" s="265" t="str">
        <f>калькуляция!C315</f>
        <v>определение БГКП в почве</v>
      </c>
      <c r="D294" s="231" t="s">
        <v>54</v>
      </c>
      <c r="E294" s="208">
        <f>калькуляция!AE315</f>
        <v>6.1499999999999995</v>
      </c>
      <c r="F294" s="209">
        <f>калькуляция!BS315</f>
        <v>3.6600000000000006</v>
      </c>
      <c r="G294" s="208"/>
      <c r="H294" s="211"/>
      <c r="I294" s="211"/>
      <c r="J294" s="171" t="e">
        <f aca="true" t="shared" si="92" ref="J294:J299">E294/H294*100-100</f>
        <v>#DIV/0!</v>
      </c>
      <c r="K294" s="326">
        <f t="shared" si="88"/>
        <v>6.1499999999999995</v>
      </c>
      <c r="L294" s="326">
        <f t="shared" si="88"/>
        <v>3.6600000000000006</v>
      </c>
      <c r="M294" s="210">
        <f t="shared" si="89"/>
        <v>6.1499999999999995</v>
      </c>
      <c r="N294" s="209">
        <f t="shared" si="89"/>
        <v>3.6600000000000006</v>
      </c>
      <c r="O294" s="174" t="e">
        <f t="shared" si="90"/>
        <v>#DIV/0!</v>
      </c>
      <c r="P294" s="178">
        <f t="shared" si="91"/>
        <v>100</v>
      </c>
      <c r="Q294" s="178">
        <f t="shared" si="91"/>
        <v>100</v>
      </c>
    </row>
    <row r="295" spans="2:17" ht="25.5" customHeight="1">
      <c r="B295" s="237" t="str">
        <f>калькуляция!B316</f>
        <v>6.3.1.48.</v>
      </c>
      <c r="C295" s="265" t="str">
        <f>калькуляция!C316</f>
        <v>определение общего микробного числа (далее - ОМЧ) в почве</v>
      </c>
      <c r="D295" s="231" t="s">
        <v>54</v>
      </c>
      <c r="E295" s="208">
        <f>калькуляция!AE316</f>
        <v>2.77</v>
      </c>
      <c r="F295" s="209">
        <f>калькуляция!BS316</f>
        <v>1.6800000000000002</v>
      </c>
      <c r="G295" s="208"/>
      <c r="H295" s="211"/>
      <c r="I295" s="211"/>
      <c r="J295" s="171" t="e">
        <f t="shared" si="92"/>
        <v>#DIV/0!</v>
      </c>
      <c r="K295" s="326">
        <f t="shared" si="88"/>
        <v>2.77</v>
      </c>
      <c r="L295" s="326">
        <f t="shared" si="88"/>
        <v>1.6800000000000002</v>
      </c>
      <c r="M295" s="210">
        <f t="shared" si="89"/>
        <v>2.77</v>
      </c>
      <c r="N295" s="209">
        <f t="shared" si="89"/>
        <v>1.6800000000000002</v>
      </c>
      <c r="O295" s="174" t="e">
        <f t="shared" si="90"/>
        <v>#DIV/0!</v>
      </c>
      <c r="P295" s="178">
        <f t="shared" si="91"/>
        <v>100</v>
      </c>
      <c r="Q295" s="178">
        <f t="shared" si="91"/>
        <v>100</v>
      </c>
    </row>
    <row r="296" spans="2:17" ht="25.5" customHeight="1">
      <c r="B296" s="237" t="str">
        <f>калькуляция!B317</f>
        <v>6.3.1.49.</v>
      </c>
      <c r="C296" s="265" t="str">
        <f>калькуляция!C317</f>
        <v>определение количества энтерококков в почве</v>
      </c>
      <c r="D296" s="231" t="s">
        <v>54</v>
      </c>
      <c r="E296" s="208">
        <f>калькуляция!AE317</f>
        <v>3.73</v>
      </c>
      <c r="F296" s="209">
        <f>калькуляция!BS317</f>
        <v>2.2399999999999998</v>
      </c>
      <c r="G296" s="208"/>
      <c r="H296" s="211"/>
      <c r="I296" s="211"/>
      <c r="J296" s="171" t="e">
        <f t="shared" si="92"/>
        <v>#DIV/0!</v>
      </c>
      <c r="K296" s="326">
        <f t="shared" si="88"/>
        <v>3.73</v>
      </c>
      <c r="L296" s="326">
        <f t="shared" si="88"/>
        <v>2.2399999999999998</v>
      </c>
      <c r="M296" s="210">
        <f t="shared" si="89"/>
        <v>3.73</v>
      </c>
      <c r="N296" s="209">
        <f t="shared" si="89"/>
        <v>2.2399999999999998</v>
      </c>
      <c r="O296" s="174" t="e">
        <f t="shared" si="90"/>
        <v>#DIV/0!</v>
      </c>
      <c r="P296" s="178">
        <f t="shared" si="91"/>
        <v>100</v>
      </c>
      <c r="Q296" s="178">
        <f t="shared" si="91"/>
        <v>100</v>
      </c>
    </row>
    <row r="297" spans="2:17" ht="25.5" customHeight="1">
      <c r="B297" s="239" t="str">
        <f>калькуляция!B318</f>
        <v>6.3.1.50.</v>
      </c>
      <c r="C297" s="272" t="str">
        <f>калькуляция!C318</f>
        <v>определение C.perfringens в почве:</v>
      </c>
      <c r="D297" s="231" t="s">
        <v>54</v>
      </c>
      <c r="E297" s="208">
        <f>калькуляция!AE318</f>
        <v>0</v>
      </c>
      <c r="F297" s="209">
        <f>калькуляция!BS318</f>
        <v>0</v>
      </c>
      <c r="G297" s="208"/>
      <c r="H297" s="211"/>
      <c r="I297" s="211"/>
      <c r="J297" s="171" t="e">
        <f t="shared" si="92"/>
        <v>#DIV/0!</v>
      </c>
      <c r="K297" s="326">
        <f t="shared" si="88"/>
        <v>0</v>
      </c>
      <c r="L297" s="326">
        <f t="shared" si="88"/>
        <v>0</v>
      </c>
      <c r="M297" s="210">
        <f t="shared" si="89"/>
        <v>0</v>
      </c>
      <c r="N297" s="209">
        <f t="shared" si="89"/>
        <v>0</v>
      </c>
      <c r="O297" s="174" t="e">
        <f t="shared" si="90"/>
        <v>#DIV/0!</v>
      </c>
      <c r="P297" s="178" t="e">
        <f t="shared" si="91"/>
        <v>#DIV/0!</v>
      </c>
      <c r="Q297" s="178" t="e">
        <f t="shared" si="91"/>
        <v>#DIV/0!</v>
      </c>
    </row>
    <row r="298" spans="2:17" ht="25.5" customHeight="1">
      <c r="B298" s="237" t="str">
        <f>калькуляция!B319</f>
        <v>6.3.1.50.1.</v>
      </c>
      <c r="C298" s="265" t="str">
        <f>калькуляция!C319</f>
        <v>при отсутствии роста микроорганизмов</v>
      </c>
      <c r="D298" s="231" t="s">
        <v>54</v>
      </c>
      <c r="E298" s="208">
        <f>калькуляция!AE319</f>
        <v>1.63</v>
      </c>
      <c r="F298" s="209">
        <f>калькуляция!BS319</f>
        <v>1.11</v>
      </c>
      <c r="G298" s="208"/>
      <c r="H298" s="211"/>
      <c r="I298" s="211"/>
      <c r="J298" s="171" t="e">
        <f t="shared" si="92"/>
        <v>#DIV/0!</v>
      </c>
      <c r="K298" s="326">
        <f t="shared" si="88"/>
        <v>1.63</v>
      </c>
      <c r="L298" s="326">
        <f t="shared" si="88"/>
        <v>1.11</v>
      </c>
      <c r="M298" s="210">
        <f t="shared" si="89"/>
        <v>1.63</v>
      </c>
      <c r="N298" s="209">
        <f t="shared" si="89"/>
        <v>1.11</v>
      </c>
      <c r="O298" s="174" t="e">
        <f t="shared" si="90"/>
        <v>#DIV/0!</v>
      </c>
      <c r="P298" s="178">
        <f t="shared" si="91"/>
        <v>100</v>
      </c>
      <c r="Q298" s="178">
        <f t="shared" si="91"/>
        <v>100</v>
      </c>
    </row>
    <row r="299" spans="2:17" ht="25.5" customHeight="1">
      <c r="B299" s="237" t="str">
        <f>калькуляция!B320</f>
        <v>6.3.1.50.2.</v>
      </c>
      <c r="C299" s="265" t="str">
        <f>калькуляция!C320</f>
        <v>при выделении микроорганизмов с изучением морфологических свойств и идентификацией до вида</v>
      </c>
      <c r="D299" s="231" t="s">
        <v>54</v>
      </c>
      <c r="E299" s="208">
        <f>калькуляция!AE320</f>
        <v>4.41</v>
      </c>
      <c r="F299" s="209">
        <f>калькуляция!BS320</f>
        <v>4.41</v>
      </c>
      <c r="G299" s="208"/>
      <c r="H299" s="211"/>
      <c r="I299" s="211"/>
      <c r="J299" s="171" t="e">
        <f t="shared" si="92"/>
        <v>#DIV/0!</v>
      </c>
      <c r="K299" s="326">
        <f t="shared" si="88"/>
        <v>4.41</v>
      </c>
      <c r="L299" s="326">
        <f t="shared" si="88"/>
        <v>4.41</v>
      </c>
      <c r="M299" s="210">
        <f t="shared" si="89"/>
        <v>4.41</v>
      </c>
      <c r="N299" s="209">
        <f t="shared" si="89"/>
        <v>4.41</v>
      </c>
      <c r="O299" s="174" t="e">
        <f t="shared" si="90"/>
        <v>#DIV/0!</v>
      </c>
      <c r="P299" s="178">
        <f t="shared" si="91"/>
        <v>100</v>
      </c>
      <c r="Q299" s="178">
        <f t="shared" si="91"/>
        <v>100</v>
      </c>
    </row>
    <row r="300" spans="2:17" ht="25.5" customHeight="1">
      <c r="B300" s="239" t="str">
        <f>калькуляция!B321</f>
        <v>6.3.1.51.</v>
      </c>
      <c r="C300" s="272" t="str">
        <f>калькуляция!C321</f>
        <v>определение наличия патогенных микроорганизмов, в том числе сальмонелл в почве:</v>
      </c>
      <c r="D300" s="231" t="s">
        <v>54</v>
      </c>
      <c r="E300" s="208"/>
      <c r="F300" s="209"/>
      <c r="G300" s="208"/>
      <c r="H300" s="211"/>
      <c r="I300" s="211"/>
      <c r="J300" s="171"/>
      <c r="K300" s="326"/>
      <c r="L300" s="326"/>
      <c r="M300" s="210"/>
      <c r="N300" s="209"/>
      <c r="O300" s="174"/>
      <c r="P300" s="178"/>
      <c r="Q300" s="178"/>
    </row>
    <row r="301" spans="2:17" ht="25.5" customHeight="1">
      <c r="B301" s="237" t="str">
        <f>калькуляция!B322</f>
        <v>6.3.1.51.1.</v>
      </c>
      <c r="C301" s="265" t="str">
        <f>калькуляция!C322</f>
        <v>при отсутствии роста микроорганизмов</v>
      </c>
      <c r="D301" s="231" t="s">
        <v>54</v>
      </c>
      <c r="E301" s="208">
        <f>калькуляция!AE322</f>
        <v>2.77</v>
      </c>
      <c r="F301" s="209">
        <f>калькуляция!BS322</f>
        <v>1.6800000000000002</v>
      </c>
      <c r="G301" s="208"/>
      <c r="H301" s="211"/>
      <c r="I301" s="211"/>
      <c r="J301" s="171" t="e">
        <f aca="true" t="shared" si="93" ref="J301:J306">E301/H301*100-100</f>
        <v>#DIV/0!</v>
      </c>
      <c r="K301" s="326">
        <f aca="true" t="shared" si="94" ref="K301:L306">E301</f>
        <v>2.77</v>
      </c>
      <c r="L301" s="326">
        <f t="shared" si="94"/>
        <v>1.6800000000000002</v>
      </c>
      <c r="M301" s="210">
        <f aca="true" t="shared" si="95" ref="M301:N306">MIN(E301,K301)</f>
        <v>2.77</v>
      </c>
      <c r="N301" s="209">
        <f t="shared" si="95"/>
        <v>1.6800000000000002</v>
      </c>
      <c r="O301" s="174" t="e">
        <f aca="true" t="shared" si="96" ref="O301:O306">M301/H301*100-100</f>
        <v>#DIV/0!</v>
      </c>
      <c r="P301" s="178">
        <f aca="true" t="shared" si="97" ref="P301:Q306">ROUND(M301/E301*100,1)</f>
        <v>100</v>
      </c>
      <c r="Q301" s="178">
        <f t="shared" si="97"/>
        <v>100</v>
      </c>
    </row>
    <row r="302" spans="2:17" ht="25.5" customHeight="1">
      <c r="B302" s="237" t="str">
        <f>калькуляция!B323</f>
        <v>6.3.1.51.2.</v>
      </c>
      <c r="C302" s="265" t="str">
        <f>калькуляция!C323</f>
        <v>при выделении микроорганизмов классическим методом</v>
      </c>
      <c r="D302" s="231" t="s">
        <v>54</v>
      </c>
      <c r="E302" s="208">
        <f>калькуляция!AE323</f>
        <v>4.69</v>
      </c>
      <c r="F302" s="209">
        <f>калькуляция!BS323</f>
        <v>4.69</v>
      </c>
      <c r="G302" s="208"/>
      <c r="H302" s="211"/>
      <c r="I302" s="211"/>
      <c r="J302" s="171" t="e">
        <f t="shared" si="93"/>
        <v>#DIV/0!</v>
      </c>
      <c r="K302" s="326">
        <f t="shared" si="94"/>
        <v>4.69</v>
      </c>
      <c r="L302" s="326">
        <f t="shared" si="94"/>
        <v>4.69</v>
      </c>
      <c r="M302" s="210">
        <f t="shared" si="95"/>
        <v>4.69</v>
      </c>
      <c r="N302" s="209">
        <f t="shared" si="95"/>
        <v>4.69</v>
      </c>
      <c r="O302" s="174" t="e">
        <f t="shared" si="96"/>
        <v>#DIV/0!</v>
      </c>
      <c r="P302" s="178">
        <f t="shared" si="97"/>
        <v>100</v>
      </c>
      <c r="Q302" s="178">
        <f t="shared" si="97"/>
        <v>100</v>
      </c>
    </row>
    <row r="303" spans="2:17" ht="20.25" customHeight="1">
      <c r="B303" s="237" t="s">
        <v>598</v>
      </c>
      <c r="C303" s="265" t="s">
        <v>599</v>
      </c>
      <c r="D303" s="231" t="s">
        <v>54</v>
      </c>
      <c r="E303" s="208">
        <f>калькуляция!AE324</f>
        <v>2.34</v>
      </c>
      <c r="F303" s="209">
        <f>калькуляция!BS324</f>
        <v>2.34</v>
      </c>
      <c r="G303" s="208"/>
      <c r="H303" s="211"/>
      <c r="I303" s="211"/>
      <c r="J303" s="171" t="e">
        <f t="shared" si="93"/>
        <v>#DIV/0!</v>
      </c>
      <c r="K303" s="326">
        <f t="shared" si="94"/>
        <v>2.34</v>
      </c>
      <c r="L303" s="326">
        <f t="shared" si="94"/>
        <v>2.34</v>
      </c>
      <c r="M303" s="210">
        <f t="shared" si="95"/>
        <v>2.34</v>
      </c>
      <c r="N303" s="209">
        <f t="shared" si="95"/>
        <v>2.34</v>
      </c>
      <c r="O303" s="174" t="e">
        <f t="shared" si="96"/>
        <v>#DIV/0!</v>
      </c>
      <c r="P303" s="178">
        <f t="shared" si="97"/>
        <v>100</v>
      </c>
      <c r="Q303" s="178">
        <f t="shared" si="97"/>
        <v>100</v>
      </c>
    </row>
    <row r="304" spans="2:17" ht="16.5" customHeight="1">
      <c r="B304" s="237" t="s">
        <v>600</v>
      </c>
      <c r="C304" s="265" t="s">
        <v>601</v>
      </c>
      <c r="D304" s="231" t="s">
        <v>54</v>
      </c>
      <c r="E304" s="208">
        <f>калькуляция!AE325</f>
        <v>1.4200000000000002</v>
      </c>
      <c r="F304" s="209">
        <f>калькуляция!BS325</f>
        <v>1.4200000000000002</v>
      </c>
      <c r="G304" s="208"/>
      <c r="H304" s="211"/>
      <c r="I304" s="211"/>
      <c r="J304" s="171" t="e">
        <f t="shared" si="93"/>
        <v>#DIV/0!</v>
      </c>
      <c r="K304" s="326">
        <f t="shared" si="94"/>
        <v>1.4200000000000002</v>
      </c>
      <c r="L304" s="326">
        <f t="shared" si="94"/>
        <v>1.4200000000000002</v>
      </c>
      <c r="M304" s="210">
        <f t="shared" si="95"/>
        <v>1.4200000000000002</v>
      </c>
      <c r="N304" s="209">
        <f t="shared" si="95"/>
        <v>1.4200000000000002</v>
      </c>
      <c r="O304" s="174" t="e">
        <f t="shared" si="96"/>
        <v>#DIV/0!</v>
      </c>
      <c r="P304" s="178">
        <f t="shared" si="97"/>
        <v>100</v>
      </c>
      <c r="Q304" s="178">
        <f t="shared" si="97"/>
        <v>100</v>
      </c>
    </row>
    <row r="305" spans="2:17" ht="30.75" customHeight="1">
      <c r="B305" s="237" t="s">
        <v>602</v>
      </c>
      <c r="C305" s="265" t="s">
        <v>603</v>
      </c>
      <c r="D305" s="231" t="s">
        <v>54</v>
      </c>
      <c r="E305" s="208">
        <f>калькуляция!AE326</f>
        <v>2.77</v>
      </c>
      <c r="F305" s="209">
        <f>калькуляция!BS326</f>
        <v>2.77</v>
      </c>
      <c r="G305" s="208"/>
      <c r="H305" s="211"/>
      <c r="I305" s="211"/>
      <c r="J305" s="171" t="e">
        <f t="shared" si="93"/>
        <v>#DIV/0!</v>
      </c>
      <c r="K305" s="326">
        <f t="shared" si="94"/>
        <v>2.77</v>
      </c>
      <c r="L305" s="326">
        <f t="shared" si="94"/>
        <v>2.77</v>
      </c>
      <c r="M305" s="210">
        <f t="shared" si="95"/>
        <v>2.77</v>
      </c>
      <c r="N305" s="209">
        <f t="shared" si="95"/>
        <v>2.77</v>
      </c>
      <c r="O305" s="174" t="e">
        <f t="shared" si="96"/>
        <v>#DIV/0!</v>
      </c>
      <c r="P305" s="178">
        <f t="shared" si="97"/>
        <v>100</v>
      </c>
      <c r="Q305" s="178">
        <f t="shared" si="97"/>
        <v>100</v>
      </c>
    </row>
    <row r="306" spans="2:17" ht="31.5" customHeight="1">
      <c r="B306" s="237" t="str">
        <f>калькуляция!B327</f>
        <v>6.3.1.61.</v>
      </c>
      <c r="C306" s="237" t="str">
        <f>калькуляция!C327</f>
        <v>определение микробиологической чистоты дезинфекционных и антисептических средств</v>
      </c>
      <c r="D306" s="231" t="s">
        <v>54</v>
      </c>
      <c r="E306" s="208">
        <f>калькуляция!AE327</f>
        <v>10.29</v>
      </c>
      <c r="F306" s="209">
        <f>калькуляция!BS327</f>
        <v>6.169999999999999</v>
      </c>
      <c r="G306" s="208"/>
      <c r="H306" s="211"/>
      <c r="I306" s="211"/>
      <c r="J306" s="171" t="e">
        <f t="shared" si="93"/>
        <v>#DIV/0!</v>
      </c>
      <c r="K306" s="326">
        <f t="shared" si="94"/>
        <v>10.29</v>
      </c>
      <c r="L306" s="326">
        <f t="shared" si="94"/>
        <v>6.169999999999999</v>
      </c>
      <c r="M306" s="210">
        <f t="shared" si="95"/>
        <v>10.29</v>
      </c>
      <c r="N306" s="209">
        <f t="shared" si="95"/>
        <v>6.169999999999999</v>
      </c>
      <c r="O306" s="174" t="e">
        <f t="shared" si="96"/>
        <v>#DIV/0!</v>
      </c>
      <c r="P306" s="178">
        <f t="shared" si="97"/>
        <v>100</v>
      </c>
      <c r="Q306" s="178">
        <f t="shared" si="97"/>
        <v>100</v>
      </c>
    </row>
    <row r="307" spans="2:17" ht="31.5" customHeight="1">
      <c r="B307" s="237" t="str">
        <f>калькуляция!B328</f>
        <v>6.3.1.75.</v>
      </c>
      <c r="C307" s="237" t="str">
        <f>калькуляция!C328</f>
        <v>контроль работы паровых и воздушных стерилизаторов бактериологическим методом</v>
      </c>
      <c r="D307" s="231" t="s">
        <v>54</v>
      </c>
      <c r="E307" s="208">
        <f>калькуляция!AE328</f>
        <v>10.94</v>
      </c>
      <c r="F307" s="209">
        <f>калькуляция!BS328</f>
        <v>6.559999999999999</v>
      </c>
      <c r="G307" s="208" t="s">
        <v>1135</v>
      </c>
      <c r="H307" s="211">
        <v>1.34</v>
      </c>
      <c r="I307" s="211">
        <v>1.34</v>
      </c>
      <c r="J307" s="171">
        <f>E307/H307*100-100</f>
        <v>716.4179104477612</v>
      </c>
      <c r="K307" s="320">
        <f>E307</f>
        <v>10.94</v>
      </c>
      <c r="L307" s="320">
        <f>F307</f>
        <v>6.559999999999999</v>
      </c>
      <c r="M307" s="210">
        <f>H307</f>
        <v>1.34</v>
      </c>
      <c r="N307" s="209">
        <f>I307</f>
        <v>1.34</v>
      </c>
      <c r="O307" s="174">
        <f>M307/H307*100-100</f>
        <v>0</v>
      </c>
      <c r="P307" s="178">
        <f>ROUND(M307/E307*100,1)</f>
        <v>12.2</v>
      </c>
      <c r="Q307" s="178">
        <f>ROUND(N307/F307*100,1)</f>
        <v>20.4</v>
      </c>
    </row>
    <row r="308" spans="2:17" ht="21" customHeight="1">
      <c r="B308" s="237" t="str">
        <f>калькуляция!B329</f>
        <v>6.3.1.76.</v>
      </c>
      <c r="C308" s="237" t="str">
        <f>калькуляция!C329</f>
        <v>контроль работы дезкамер бактериологическим методом</v>
      </c>
      <c r="D308" s="231" t="s">
        <v>54</v>
      </c>
      <c r="E308" s="208">
        <f>калькуляция!AE329</f>
        <v>5.989999999999999</v>
      </c>
      <c r="F308" s="209">
        <f>калькуляция!BS329</f>
        <v>3.6300000000000003</v>
      </c>
      <c r="G308" s="208" t="s">
        <v>1136</v>
      </c>
      <c r="H308" s="211">
        <v>2.04</v>
      </c>
      <c r="I308" s="211">
        <v>2.04</v>
      </c>
      <c r="J308" s="171">
        <f>E308/H308*100-100</f>
        <v>193.62745098039215</v>
      </c>
      <c r="K308" s="320">
        <f>E308</f>
        <v>5.989999999999999</v>
      </c>
      <c r="L308" s="320">
        <f>F308</f>
        <v>3.6300000000000003</v>
      </c>
      <c r="M308" s="210">
        <f>H308</f>
        <v>2.04</v>
      </c>
      <c r="N308" s="209">
        <f>I308</f>
        <v>2.04</v>
      </c>
      <c r="O308" s="174">
        <f>M308/H308*100-100</f>
        <v>0</v>
      </c>
      <c r="P308" s="178">
        <f>ROUND(M308/E308*100,1)</f>
        <v>34.1</v>
      </c>
      <c r="Q308" s="178">
        <f>ROUND(N308/F308*100,1)</f>
        <v>56.2</v>
      </c>
    </row>
    <row r="309" spans="2:17" ht="27.75" customHeight="1">
      <c r="B309" s="233" t="s">
        <v>44</v>
      </c>
      <c r="C309" s="276" t="s">
        <v>616</v>
      </c>
      <c r="D309" s="282"/>
      <c r="E309" s="208"/>
      <c r="F309" s="209"/>
      <c r="G309" s="208"/>
      <c r="H309" s="211"/>
      <c r="I309" s="211"/>
      <c r="J309" s="171"/>
      <c r="K309" s="210"/>
      <c r="L309" s="210"/>
      <c r="M309" s="210"/>
      <c r="N309" s="209"/>
      <c r="O309" s="174"/>
      <c r="P309" s="178"/>
      <c r="Q309" s="178"/>
    </row>
    <row r="310" spans="2:17" ht="30" customHeight="1">
      <c r="B310" s="233" t="s">
        <v>617</v>
      </c>
      <c r="C310" s="276" t="s">
        <v>618</v>
      </c>
      <c r="D310" s="282"/>
      <c r="E310" s="208"/>
      <c r="F310" s="209"/>
      <c r="G310" s="208"/>
      <c r="H310" s="211"/>
      <c r="I310" s="211"/>
      <c r="J310" s="171"/>
      <c r="K310" s="210"/>
      <c r="L310" s="210"/>
      <c r="M310" s="210"/>
      <c r="N310" s="209"/>
      <c r="O310" s="174"/>
      <c r="P310" s="178"/>
      <c r="Q310" s="178"/>
    </row>
    <row r="311" spans="2:17" ht="39" customHeight="1">
      <c r="B311" s="233" t="s">
        <v>619</v>
      </c>
      <c r="C311" s="276" t="s">
        <v>620</v>
      </c>
      <c r="D311" s="282"/>
      <c r="E311" s="208"/>
      <c r="F311" s="209"/>
      <c r="G311" s="208"/>
      <c r="H311" s="211"/>
      <c r="I311" s="211"/>
      <c r="J311" s="171"/>
      <c r="K311" s="210"/>
      <c r="L311" s="210"/>
      <c r="M311" s="210"/>
      <c r="N311" s="209"/>
      <c r="O311" s="174"/>
      <c r="P311" s="178"/>
      <c r="Q311" s="178"/>
    </row>
    <row r="312" spans="2:17" ht="19.5" customHeight="1">
      <c r="B312" s="237" t="s">
        <v>621</v>
      </c>
      <c r="C312" s="265" t="s">
        <v>622</v>
      </c>
      <c r="D312" s="282" t="s">
        <v>54</v>
      </c>
      <c r="E312" s="208">
        <f>калькуляция!AE332</f>
        <v>2.77</v>
      </c>
      <c r="F312" s="209">
        <f>калькуляция!BS332</f>
        <v>2.77</v>
      </c>
      <c r="G312" s="208" t="s">
        <v>1039</v>
      </c>
      <c r="H312" s="211">
        <v>0.7</v>
      </c>
      <c r="I312" s="211">
        <v>0.7</v>
      </c>
      <c r="J312" s="171">
        <f>E312/H312*100-100</f>
        <v>295.7142857142857</v>
      </c>
      <c r="K312" s="320">
        <f>H312</f>
        <v>0.7</v>
      </c>
      <c r="L312" s="320">
        <f>I312</f>
        <v>0.7</v>
      </c>
      <c r="M312" s="210">
        <f>MIN(E312,K312)</f>
        <v>0.7</v>
      </c>
      <c r="N312" s="209">
        <f>MIN(F312,L312)</f>
        <v>0.7</v>
      </c>
      <c r="O312" s="174">
        <f>M312/H312*100-100</f>
        <v>0</v>
      </c>
      <c r="P312" s="178">
        <f>ROUND(M312/E312*100,1)</f>
        <v>25.3</v>
      </c>
      <c r="Q312" s="178">
        <f>ROUND(N312/F312*100,1)</f>
        <v>25.3</v>
      </c>
    </row>
    <row r="313" spans="2:17" ht="25.5" customHeight="1">
      <c r="B313" s="230" t="s">
        <v>703</v>
      </c>
      <c r="C313" s="277" t="s">
        <v>642</v>
      </c>
      <c r="D313" s="282"/>
      <c r="E313" s="208"/>
      <c r="F313" s="209"/>
      <c r="G313" s="208"/>
      <c r="H313" s="211"/>
      <c r="I313" s="211"/>
      <c r="J313" s="171"/>
      <c r="K313" s="320"/>
      <c r="L313" s="320"/>
      <c r="M313" s="210"/>
      <c r="N313" s="209"/>
      <c r="O313" s="174"/>
      <c r="P313" s="178"/>
      <c r="Q313" s="178"/>
    </row>
    <row r="314" spans="2:17" ht="20.25" customHeight="1">
      <c r="B314" s="237" t="s">
        <v>623</v>
      </c>
      <c r="C314" s="265" t="s">
        <v>624</v>
      </c>
      <c r="D314" s="282" t="s">
        <v>54</v>
      </c>
      <c r="E314" s="208">
        <f>калькуляция!AE334</f>
        <v>4.69</v>
      </c>
      <c r="F314" s="209">
        <f>калькуляция!BS334</f>
        <v>4.69</v>
      </c>
      <c r="G314" s="208" t="s">
        <v>1039</v>
      </c>
      <c r="H314" s="211">
        <v>0.7</v>
      </c>
      <c r="I314" s="211">
        <v>0.7</v>
      </c>
      <c r="J314" s="171">
        <f>E314/H314*100-100</f>
        <v>570.0000000000001</v>
      </c>
      <c r="K314" s="320">
        <f>H314</f>
        <v>0.7</v>
      </c>
      <c r="L314" s="320">
        <f>I314</f>
        <v>0.7</v>
      </c>
      <c r="M314" s="210">
        <f>MIN(E314,K314)</f>
        <v>0.7</v>
      </c>
      <c r="N314" s="209">
        <f>MIN(F314,L314)</f>
        <v>0.7</v>
      </c>
      <c r="O314" s="174">
        <f>M314/H314*100-100</f>
        <v>0</v>
      </c>
      <c r="P314" s="178">
        <f>ROUND(M314/E314*100,1)</f>
        <v>14.9</v>
      </c>
      <c r="Q314" s="178">
        <f>ROUND(N314/F314*100,1)</f>
        <v>14.9</v>
      </c>
    </row>
    <row r="315" spans="2:17" ht="14.25" customHeight="1">
      <c r="B315" s="237" t="s">
        <v>625</v>
      </c>
      <c r="C315" s="265" t="s">
        <v>626</v>
      </c>
      <c r="D315" s="282" t="s">
        <v>54</v>
      </c>
      <c r="E315" s="208">
        <f>калькуляция!AE335</f>
        <v>6.559999999999999</v>
      </c>
      <c r="F315" s="209">
        <f>калькуляция!BS335</f>
        <v>6.559999999999999</v>
      </c>
      <c r="G315" s="208" t="s">
        <v>1039</v>
      </c>
      <c r="H315" s="211">
        <v>0.7</v>
      </c>
      <c r="I315" s="211">
        <v>0.7</v>
      </c>
      <c r="J315" s="171">
        <f>E315/H315*100-100</f>
        <v>837.142857142857</v>
      </c>
      <c r="K315" s="320">
        <f>H315</f>
        <v>0.7</v>
      </c>
      <c r="L315" s="320">
        <f>I315</f>
        <v>0.7</v>
      </c>
      <c r="M315" s="210">
        <f>MIN(E315,K315)</f>
        <v>0.7</v>
      </c>
      <c r="N315" s="209">
        <f>MIN(F315,L315)</f>
        <v>0.7</v>
      </c>
      <c r="O315" s="174">
        <f>M315/H315*100-100</f>
        <v>0</v>
      </c>
      <c r="P315" s="178">
        <f>ROUND(M315/E315*100,1)</f>
        <v>10.7</v>
      </c>
      <c r="Q315" s="178">
        <f>ROUND(N315/F315*100,1)</f>
        <v>10.7</v>
      </c>
    </row>
    <row r="316" spans="2:17" ht="24" customHeight="1">
      <c r="B316" s="233" t="s">
        <v>627</v>
      </c>
      <c r="C316" s="276" t="s">
        <v>628</v>
      </c>
      <c r="D316" s="282"/>
      <c r="E316" s="208"/>
      <c r="F316" s="209"/>
      <c r="G316" s="208"/>
      <c r="H316" s="211"/>
      <c r="I316" s="211"/>
      <c r="J316" s="319"/>
      <c r="K316" s="320"/>
      <c r="L316" s="320"/>
      <c r="M316" s="320"/>
      <c r="N316" s="318"/>
      <c r="O316" s="321"/>
      <c r="P316" s="322"/>
      <c r="Q316" s="322"/>
    </row>
    <row r="317" spans="2:17" ht="18.75" customHeight="1">
      <c r="B317" s="233" t="s">
        <v>629</v>
      </c>
      <c r="C317" s="276" t="s">
        <v>630</v>
      </c>
      <c r="D317" s="282"/>
      <c r="E317" s="208"/>
      <c r="F317" s="209"/>
      <c r="G317" s="208"/>
      <c r="H317" s="211"/>
      <c r="I317" s="211"/>
      <c r="J317" s="171"/>
      <c r="K317" s="320"/>
      <c r="L317" s="320"/>
      <c r="M317" s="320"/>
      <c r="N317" s="318"/>
      <c r="O317" s="174"/>
      <c r="P317" s="178"/>
      <c r="Q317" s="178"/>
    </row>
    <row r="318" spans="2:17" ht="15.75" customHeight="1">
      <c r="B318" s="237" t="s">
        <v>631</v>
      </c>
      <c r="C318" s="265" t="s">
        <v>545</v>
      </c>
      <c r="D318" s="282" t="s">
        <v>54</v>
      </c>
      <c r="E318" s="208">
        <f>калькуляция!AE338</f>
        <v>2.2399999999999998</v>
      </c>
      <c r="F318" s="209">
        <f>калькуляция!BS338</f>
        <v>2.2399999999999998</v>
      </c>
      <c r="G318" s="208" t="s">
        <v>1059</v>
      </c>
      <c r="H318" s="211">
        <v>7.88</v>
      </c>
      <c r="I318" s="211">
        <v>3.29</v>
      </c>
      <c r="J318" s="171">
        <f>E318/H318*100-100</f>
        <v>-71.57360406091371</v>
      </c>
      <c r="K318" s="320">
        <f aca="true" t="shared" si="98" ref="K318:K323">E318</f>
        <v>2.2399999999999998</v>
      </c>
      <c r="L318" s="320">
        <f aca="true" t="shared" si="99" ref="L318:L323">F318</f>
        <v>2.2399999999999998</v>
      </c>
      <c r="M318" s="320">
        <f>MIN(E318,K318)</f>
        <v>2.2399999999999998</v>
      </c>
      <c r="N318" s="318">
        <f>MIN(F318,L318)</f>
        <v>2.2399999999999998</v>
      </c>
      <c r="O318" s="174">
        <f>M318/H318*100-100</f>
        <v>-71.57360406091371</v>
      </c>
      <c r="P318" s="178">
        <f>ROUND(M318/E318*100,1)</f>
        <v>100</v>
      </c>
      <c r="Q318" s="178">
        <f>ROUND(N318/F318*100,1)</f>
        <v>100</v>
      </c>
    </row>
    <row r="319" spans="2:17" ht="30.75" customHeight="1">
      <c r="B319" s="237" t="s">
        <v>632</v>
      </c>
      <c r="C319" s="265" t="s">
        <v>559</v>
      </c>
      <c r="D319" s="282" t="s">
        <v>54</v>
      </c>
      <c r="E319" s="208">
        <f>калькуляция!AE339</f>
        <v>3.38</v>
      </c>
      <c r="F319" s="209">
        <f>калькуляция!BS339</f>
        <v>3.38</v>
      </c>
      <c r="G319" s="208" t="s">
        <v>1059</v>
      </c>
      <c r="H319" s="211">
        <v>7.88</v>
      </c>
      <c r="I319" s="211">
        <v>3.29</v>
      </c>
      <c r="J319" s="171">
        <f>E319/H319*100-100</f>
        <v>-57.10659898477157</v>
      </c>
      <c r="K319" s="320">
        <f t="shared" si="98"/>
        <v>3.38</v>
      </c>
      <c r="L319" s="320">
        <f>I319</f>
        <v>3.29</v>
      </c>
      <c r="M319" s="320">
        <f>MIN(E319,K319)</f>
        <v>3.38</v>
      </c>
      <c r="N319" s="318">
        <f>MIN(F319,L319)</f>
        <v>3.29</v>
      </c>
      <c r="O319" s="174">
        <f>M319/H319*100-100</f>
        <v>-57.10659898477157</v>
      </c>
      <c r="P319" s="178">
        <f>ROUND(M319/E319*100,1)</f>
        <v>100</v>
      </c>
      <c r="Q319" s="178">
        <f>ROUND(N319/F319*100,1)</f>
        <v>97.3</v>
      </c>
    </row>
    <row r="320" spans="2:17" ht="19.5" customHeight="1">
      <c r="B320" s="233" t="s">
        <v>633</v>
      </c>
      <c r="C320" s="276" t="s">
        <v>634</v>
      </c>
      <c r="D320" s="282"/>
      <c r="E320" s="208"/>
      <c r="F320" s="209"/>
      <c r="G320" s="208"/>
      <c r="H320" s="211"/>
      <c r="I320" s="211"/>
      <c r="J320" s="319"/>
      <c r="K320" s="320"/>
      <c r="L320" s="320"/>
      <c r="M320" s="320"/>
      <c r="N320" s="318"/>
      <c r="O320" s="321"/>
      <c r="P320" s="322"/>
      <c r="Q320" s="322"/>
    </row>
    <row r="321" spans="2:17" ht="24.75" customHeight="1">
      <c r="B321" s="237" t="s">
        <v>635</v>
      </c>
      <c r="C321" s="265" t="s">
        <v>636</v>
      </c>
      <c r="D321" s="282" t="s">
        <v>54</v>
      </c>
      <c r="E321" s="208">
        <f>калькуляция!AE341</f>
        <v>5.569999999999999</v>
      </c>
      <c r="F321" s="209">
        <f>калькуляция!BS341</f>
        <v>5.569999999999999</v>
      </c>
      <c r="G321" s="311"/>
      <c r="H321" s="211"/>
      <c r="I321" s="211"/>
      <c r="J321" s="171" t="e">
        <f>E321/H321*100-100</f>
        <v>#DIV/0!</v>
      </c>
      <c r="K321" s="326">
        <f t="shared" si="98"/>
        <v>5.569999999999999</v>
      </c>
      <c r="L321" s="326">
        <f t="shared" si="99"/>
        <v>5.569999999999999</v>
      </c>
      <c r="M321" s="210">
        <f>MIN(E321,K321)</f>
        <v>5.569999999999999</v>
      </c>
      <c r="N321" s="209">
        <f>MIN(F321,L321)</f>
        <v>5.569999999999999</v>
      </c>
      <c r="O321" s="174" t="e">
        <f>M321/H321*100-100</f>
        <v>#DIV/0!</v>
      </c>
      <c r="P321" s="178">
        <f>ROUND(M321/E321*100,1)</f>
        <v>100</v>
      </c>
      <c r="Q321" s="178">
        <f>ROUND(N321/F321*100,1)</f>
        <v>100</v>
      </c>
    </row>
    <row r="322" spans="2:17" ht="26.25" customHeight="1">
      <c r="B322" s="239" t="s">
        <v>637</v>
      </c>
      <c r="C322" s="272" t="s">
        <v>638</v>
      </c>
      <c r="D322" s="282"/>
      <c r="E322" s="208"/>
      <c r="F322" s="209"/>
      <c r="G322" s="208"/>
      <c r="H322" s="211"/>
      <c r="I322" s="211"/>
      <c r="J322" s="319"/>
      <c r="K322" s="320"/>
      <c r="L322" s="320"/>
      <c r="M322" s="320"/>
      <c r="N322" s="318"/>
      <c r="O322" s="321"/>
      <c r="P322" s="322"/>
      <c r="Q322" s="322"/>
    </row>
    <row r="323" spans="2:17" ht="26.25" customHeight="1">
      <c r="B323" s="237" t="s">
        <v>639</v>
      </c>
      <c r="C323" s="265" t="s">
        <v>640</v>
      </c>
      <c r="D323" s="282" t="s">
        <v>54</v>
      </c>
      <c r="E323" s="208">
        <f>калькуляция!AE343</f>
        <v>2.77</v>
      </c>
      <c r="F323" s="209">
        <f>калькуляция!BS343</f>
        <v>2.77</v>
      </c>
      <c r="G323" s="317"/>
      <c r="H323" s="312"/>
      <c r="I323" s="312"/>
      <c r="J323" s="171" t="e">
        <f>E323/H323*100-100</f>
        <v>#DIV/0!</v>
      </c>
      <c r="K323" s="326">
        <f t="shared" si="98"/>
        <v>2.77</v>
      </c>
      <c r="L323" s="326">
        <f t="shared" si="99"/>
        <v>2.77</v>
      </c>
      <c r="M323" s="210">
        <f>MIN(E323,K323)</f>
        <v>2.77</v>
      </c>
      <c r="N323" s="209">
        <f>MIN(F323,L323)</f>
        <v>2.77</v>
      </c>
      <c r="O323" s="174" t="e">
        <f>M323/H323*100-100</f>
        <v>#DIV/0!</v>
      </c>
      <c r="P323" s="178">
        <f>ROUND(M323/E323*100,1)</f>
        <v>100</v>
      </c>
      <c r="Q323" s="178">
        <f>ROUND(N323/F323*100,1)</f>
        <v>100</v>
      </c>
    </row>
    <row r="324" spans="2:17" ht="15.75" customHeight="1">
      <c r="B324" s="233" t="s">
        <v>641</v>
      </c>
      <c r="C324" s="276" t="s">
        <v>642</v>
      </c>
      <c r="D324" s="282"/>
      <c r="E324" s="208"/>
      <c r="F324" s="209"/>
      <c r="G324" s="317"/>
      <c r="H324" s="312"/>
      <c r="I324" s="312"/>
      <c r="J324" s="319"/>
      <c r="K324" s="320"/>
      <c r="L324" s="320"/>
      <c r="M324" s="320"/>
      <c r="N324" s="318"/>
      <c r="O324" s="321"/>
      <c r="P324" s="322"/>
      <c r="Q324" s="322"/>
    </row>
    <row r="325" spans="2:17" ht="24.75" customHeight="1">
      <c r="B325" s="237" t="s">
        <v>643</v>
      </c>
      <c r="C325" s="265" t="s">
        <v>644</v>
      </c>
      <c r="D325" s="282" t="s">
        <v>54</v>
      </c>
      <c r="E325" s="208">
        <f>калькуляция!AE345</f>
        <v>3.73</v>
      </c>
      <c r="F325" s="209">
        <f>калькуляция!BS345</f>
        <v>3.73</v>
      </c>
      <c r="G325" s="333" t="s">
        <v>1056</v>
      </c>
      <c r="H325" s="312">
        <v>1.28</v>
      </c>
      <c r="I325" s="312">
        <v>1.28</v>
      </c>
      <c r="J325" s="171">
        <f>E325/H325*100-100</f>
        <v>191.40625</v>
      </c>
      <c r="K325" s="320">
        <f>H325</f>
        <v>1.28</v>
      </c>
      <c r="L325" s="320">
        <f>I325</f>
        <v>1.28</v>
      </c>
      <c r="M325" s="210">
        <f>MIN(E325,K325)</f>
        <v>1.28</v>
      </c>
      <c r="N325" s="209">
        <f>MIN(F325,L325)</f>
        <v>1.28</v>
      </c>
      <c r="O325" s="174">
        <f>M325/H325*100-100</f>
        <v>0</v>
      </c>
      <c r="P325" s="178">
        <f>ROUND(M325/E325*100,1)</f>
        <v>34.3</v>
      </c>
      <c r="Q325" s="178">
        <f>ROUND(N325/F325*100,1)</f>
        <v>34.3</v>
      </c>
    </row>
    <row r="326" spans="2:17" ht="20.25" customHeight="1">
      <c r="B326" s="237" t="s">
        <v>645</v>
      </c>
      <c r="C326" s="265" t="s">
        <v>626</v>
      </c>
      <c r="D326" s="282" t="s">
        <v>54</v>
      </c>
      <c r="E326" s="208">
        <f>калькуляция!AE346</f>
        <v>4.69</v>
      </c>
      <c r="F326" s="209">
        <f>калькуляция!BS346</f>
        <v>4.69</v>
      </c>
      <c r="G326" s="333" t="s">
        <v>1056</v>
      </c>
      <c r="H326" s="312">
        <v>1.28</v>
      </c>
      <c r="I326" s="312">
        <v>1.28</v>
      </c>
      <c r="J326" s="171">
        <f>E326/H326*100-100</f>
        <v>266.40625000000006</v>
      </c>
      <c r="K326" s="320">
        <f>H326</f>
        <v>1.28</v>
      </c>
      <c r="L326" s="320">
        <f>I326</f>
        <v>1.28</v>
      </c>
      <c r="M326" s="210">
        <f>MIN(E326,K326)</f>
        <v>1.28</v>
      </c>
      <c r="N326" s="209">
        <f>MIN(F326,L326)</f>
        <v>1.28</v>
      </c>
      <c r="O326" s="174">
        <f>M326/H326*100-100</f>
        <v>0</v>
      </c>
      <c r="P326" s="178">
        <f>ROUND(M326/E326*100,1)</f>
        <v>27.3</v>
      </c>
      <c r="Q326" s="178">
        <f>ROUND(N326/F326*100,1)</f>
        <v>27.3</v>
      </c>
    </row>
    <row r="327" spans="2:17" ht="15.75" customHeight="1">
      <c r="B327" s="233" t="s">
        <v>646</v>
      </c>
      <c r="C327" s="276" t="s">
        <v>634</v>
      </c>
      <c r="D327" s="282"/>
      <c r="E327" s="208"/>
      <c r="F327" s="209"/>
      <c r="G327" s="208"/>
      <c r="H327" s="211"/>
      <c r="I327" s="211"/>
      <c r="J327" s="319"/>
      <c r="K327" s="320"/>
      <c r="L327" s="320"/>
      <c r="M327" s="320"/>
      <c r="N327" s="318"/>
      <c r="O327" s="321"/>
      <c r="P327" s="322"/>
      <c r="Q327" s="322"/>
    </row>
    <row r="328" spans="2:17" ht="25.5" customHeight="1">
      <c r="B328" s="237" t="s">
        <v>647</v>
      </c>
      <c r="C328" s="265" t="s">
        <v>636</v>
      </c>
      <c r="D328" s="282" t="s">
        <v>54</v>
      </c>
      <c r="E328" s="208">
        <f>калькуляция!AE348</f>
        <v>6.6000000000000005</v>
      </c>
      <c r="F328" s="209">
        <f>калькуляция!BS348</f>
        <v>6.6000000000000005</v>
      </c>
      <c r="G328" s="311"/>
      <c r="H328" s="211"/>
      <c r="I328" s="211"/>
      <c r="J328" s="171" t="e">
        <f>E328/H328*100-100</f>
        <v>#DIV/0!</v>
      </c>
      <c r="K328" s="326">
        <f>E328</f>
        <v>6.6000000000000005</v>
      </c>
      <c r="L328" s="326">
        <f>F328</f>
        <v>6.6000000000000005</v>
      </c>
      <c r="M328" s="210">
        <f>MIN(E328,K328)</f>
        <v>6.6000000000000005</v>
      </c>
      <c r="N328" s="209">
        <f>MIN(F328,L328)</f>
        <v>6.6000000000000005</v>
      </c>
      <c r="O328" s="174" t="e">
        <f>M328/H328*100-100</f>
        <v>#DIV/0!</v>
      </c>
      <c r="P328" s="178">
        <f>ROUND(M328/E328*100,1)</f>
        <v>100</v>
      </c>
      <c r="Q328" s="178">
        <f>ROUND(N328/F328*100,1)</f>
        <v>100</v>
      </c>
    </row>
    <row r="329" spans="2:17" ht="27.75" customHeight="1">
      <c r="B329" s="233" t="s">
        <v>648</v>
      </c>
      <c r="C329" s="276" t="s">
        <v>649</v>
      </c>
      <c r="D329" s="282"/>
      <c r="E329" s="208"/>
      <c r="F329" s="209"/>
      <c r="G329" s="208"/>
      <c r="H329" s="211"/>
      <c r="I329" s="211"/>
      <c r="J329" s="319"/>
      <c r="K329" s="320"/>
      <c r="L329" s="320"/>
      <c r="M329" s="320"/>
      <c r="N329" s="318"/>
      <c r="O329" s="321"/>
      <c r="P329" s="322"/>
      <c r="Q329" s="322"/>
    </row>
    <row r="330" spans="2:17" ht="33" customHeight="1">
      <c r="B330" s="237" t="s">
        <v>650</v>
      </c>
      <c r="C330" s="265" t="s">
        <v>651</v>
      </c>
      <c r="D330" s="282" t="s">
        <v>54</v>
      </c>
      <c r="E330" s="208">
        <f>калькуляция!AE350</f>
        <v>2.2399999999999998</v>
      </c>
      <c r="F330" s="209">
        <f>калькуляция!BS350</f>
        <v>2.2399999999999998</v>
      </c>
      <c r="G330" s="208" t="str">
        <f>G326</f>
        <v>3.2.1.11</v>
      </c>
      <c r="H330" s="208">
        <f>H326</f>
        <v>1.28</v>
      </c>
      <c r="I330" s="208">
        <f>I326</f>
        <v>1.28</v>
      </c>
      <c r="J330" s="171">
        <f>E330/H330*100-100</f>
        <v>74.99999999999997</v>
      </c>
      <c r="K330" s="320">
        <f>H330</f>
        <v>1.28</v>
      </c>
      <c r="L330" s="320">
        <f>I330</f>
        <v>1.28</v>
      </c>
      <c r="M330" s="210">
        <f>MIN(E330,K330)</f>
        <v>1.28</v>
      </c>
      <c r="N330" s="209">
        <f>MIN(F330,L330)</f>
        <v>1.28</v>
      </c>
      <c r="O330" s="174">
        <f>M330/H330*100-100</f>
        <v>0</v>
      </c>
      <c r="P330" s="178">
        <f>ROUND(M330/E330*100,1)</f>
        <v>57.1</v>
      </c>
      <c r="Q330" s="178">
        <f>ROUND(N330/F330*100,1)</f>
        <v>57.1</v>
      </c>
    </row>
    <row r="331" spans="2:17" ht="25.5" customHeight="1">
      <c r="B331" s="237" t="s">
        <v>652</v>
      </c>
      <c r="C331" s="265" t="s">
        <v>559</v>
      </c>
      <c r="D331" s="282" t="s">
        <v>54</v>
      </c>
      <c r="E331" s="208">
        <f>калькуляция!AE351</f>
        <v>3.3400000000000003</v>
      </c>
      <c r="F331" s="209">
        <f>калькуляция!BS351</f>
        <v>3.3400000000000003</v>
      </c>
      <c r="G331" s="208" t="str">
        <f>G330</f>
        <v>3.2.1.11</v>
      </c>
      <c r="H331" s="208">
        <f>H330</f>
        <v>1.28</v>
      </c>
      <c r="I331" s="208">
        <f>I330</f>
        <v>1.28</v>
      </c>
      <c r="J331" s="171">
        <f>E331/H331*100-100</f>
        <v>160.9375</v>
      </c>
      <c r="K331" s="320">
        <f>H331</f>
        <v>1.28</v>
      </c>
      <c r="L331" s="320">
        <f>I331</f>
        <v>1.28</v>
      </c>
      <c r="M331" s="210">
        <f>MIN(E331,K331)</f>
        <v>1.28</v>
      </c>
      <c r="N331" s="209">
        <f>MIN(F331,L331)</f>
        <v>1.28</v>
      </c>
      <c r="O331" s="174">
        <f>M331/H331*100-100</f>
        <v>0</v>
      </c>
      <c r="P331" s="178">
        <f>ROUND(M331/E331*100,1)</f>
        <v>38.3</v>
      </c>
      <c r="Q331" s="178">
        <f>ROUND(N331/F331*100,1)</f>
        <v>38.3</v>
      </c>
    </row>
    <row r="332" spans="2:17" ht="25.5" customHeight="1">
      <c r="B332" s="233" t="s">
        <v>653</v>
      </c>
      <c r="C332" s="276" t="s">
        <v>634</v>
      </c>
      <c r="D332" s="282"/>
      <c r="E332" s="208"/>
      <c r="F332" s="209"/>
      <c r="G332" s="208"/>
      <c r="H332" s="211"/>
      <c r="I332" s="211"/>
      <c r="J332" s="319"/>
      <c r="K332" s="320"/>
      <c r="L332" s="320"/>
      <c r="M332" s="210"/>
      <c r="N332" s="209"/>
      <c r="O332" s="321"/>
      <c r="P332" s="322"/>
      <c r="Q332" s="322"/>
    </row>
    <row r="333" spans="2:17" ht="22.5" customHeight="1">
      <c r="B333" s="237" t="s">
        <v>654</v>
      </c>
      <c r="C333" s="265" t="s">
        <v>636</v>
      </c>
      <c r="D333" s="282" t="s">
        <v>54</v>
      </c>
      <c r="E333" s="208">
        <f>калькуляция!AE353</f>
        <v>5.96</v>
      </c>
      <c r="F333" s="209">
        <f>калькуляция!BS353</f>
        <v>5.96</v>
      </c>
      <c r="G333" s="311" t="str">
        <f>G331</f>
        <v>3.2.1.11</v>
      </c>
      <c r="H333" s="311">
        <f>H331</f>
        <v>1.28</v>
      </c>
      <c r="I333" s="311">
        <f>I331</f>
        <v>1.28</v>
      </c>
      <c r="J333" s="171">
        <f>E333/H333*100-100</f>
        <v>365.625</v>
      </c>
      <c r="K333" s="320">
        <f>H333</f>
        <v>1.28</v>
      </c>
      <c r="L333" s="320">
        <f>I333</f>
        <v>1.28</v>
      </c>
      <c r="M333" s="210">
        <f>MIN(E333,K333)</f>
        <v>1.28</v>
      </c>
      <c r="N333" s="209">
        <f>MIN(F333,L333)</f>
        <v>1.28</v>
      </c>
      <c r="O333" s="174">
        <f>M333/H333*100-100</f>
        <v>0</v>
      </c>
      <c r="P333" s="178">
        <f>ROUND(M333/E333*100,1)</f>
        <v>21.5</v>
      </c>
      <c r="Q333" s="178">
        <f>ROUND(N333/F333*100,1)</f>
        <v>21.5</v>
      </c>
    </row>
    <row r="334" spans="2:17" ht="42" customHeight="1">
      <c r="B334" s="239" t="str">
        <f>калькуляция!B354</f>
        <v>6.5.1.7.</v>
      </c>
      <c r="C334" s="272" t="str">
        <f>калькуляция!C354</f>
        <v>исследования на аэробные и факультативно-анаэробные микроорганизмы в гное, отделяемом ран, дренажей, абсцессов, в транссудатах, экссудатах:</v>
      </c>
      <c r="D334" s="282" t="s">
        <v>54</v>
      </c>
      <c r="E334" s="208"/>
      <c r="F334" s="209"/>
      <c r="G334" s="311"/>
      <c r="H334" s="311"/>
      <c r="I334" s="311"/>
      <c r="J334" s="171"/>
      <c r="K334" s="320"/>
      <c r="L334" s="320"/>
      <c r="M334" s="210"/>
      <c r="N334" s="209"/>
      <c r="O334" s="174"/>
      <c r="P334" s="178"/>
      <c r="Q334" s="178"/>
    </row>
    <row r="335" spans="2:17" ht="22.5" customHeight="1">
      <c r="B335" s="237" t="str">
        <f>калькуляция!B355</f>
        <v>6.5.1.7.1.</v>
      </c>
      <c r="C335" s="265" t="str">
        <f>калькуляция!C355</f>
        <v>культуральное исследование при отсутствии микроорганизмов </v>
      </c>
      <c r="D335" s="282" t="s">
        <v>54</v>
      </c>
      <c r="E335" s="208">
        <f>калькуляция!AE355</f>
        <v>2.77</v>
      </c>
      <c r="F335" s="209">
        <f>калькуляция!BS355</f>
        <v>2.77</v>
      </c>
      <c r="G335" s="311" t="str">
        <f>G333</f>
        <v>3.2.1.11</v>
      </c>
      <c r="H335" s="311">
        <f>H333</f>
        <v>1.28</v>
      </c>
      <c r="I335" s="311">
        <f>I333</f>
        <v>1.28</v>
      </c>
      <c r="J335" s="171">
        <f>E335/H335*100-100</f>
        <v>116.40625</v>
      </c>
      <c r="K335" s="320">
        <f>H335</f>
        <v>1.28</v>
      </c>
      <c r="L335" s="320">
        <f>I335</f>
        <v>1.28</v>
      </c>
      <c r="M335" s="210">
        <f>MIN(E335,K335)</f>
        <v>1.28</v>
      </c>
      <c r="N335" s="209">
        <f>MIN(F335,L335)</f>
        <v>1.28</v>
      </c>
      <c r="O335" s="174">
        <f>M335/H335*100-100</f>
        <v>0</v>
      </c>
      <c r="P335" s="178">
        <f>ROUND(M335/E335*100,1)</f>
        <v>46.2</v>
      </c>
      <c r="Q335" s="178">
        <f>ROUND(N335/F335*100,1)</f>
        <v>46.2</v>
      </c>
    </row>
    <row r="336" spans="2:17" ht="26.25" customHeight="1">
      <c r="B336" s="237" t="str">
        <f>калькуляция!B356</f>
        <v>6.5.1.7.2.</v>
      </c>
      <c r="C336" s="265" t="str">
        <f>калькуляция!C356</f>
        <v>при выделении микроорганизмов с изучением морфологических свойств</v>
      </c>
      <c r="D336" s="282" t="s">
        <v>54</v>
      </c>
      <c r="E336" s="208">
        <f>калькуляция!AE356</f>
        <v>3.93</v>
      </c>
      <c r="F336" s="209">
        <f>калькуляция!BS356</f>
        <v>3.93</v>
      </c>
      <c r="G336" s="311" t="s">
        <v>1056</v>
      </c>
      <c r="H336" s="311">
        <f>H335</f>
        <v>1.28</v>
      </c>
      <c r="I336" s="311">
        <f>I335</f>
        <v>1.28</v>
      </c>
      <c r="J336" s="171">
        <f>E336/H336*100-100</f>
        <v>207.03125</v>
      </c>
      <c r="K336" s="320">
        <f>H336</f>
        <v>1.28</v>
      </c>
      <c r="L336" s="320">
        <f>I336</f>
        <v>1.28</v>
      </c>
      <c r="M336" s="210">
        <f>MIN(E336,K336)</f>
        <v>1.28</v>
      </c>
      <c r="N336" s="209">
        <f>MIN(F336,L336)</f>
        <v>1.28</v>
      </c>
      <c r="O336" s="174">
        <f>M336/H336*100-100</f>
        <v>0</v>
      </c>
      <c r="P336" s="178">
        <f>ROUND(M336/E336*100,1)</f>
        <v>32.6</v>
      </c>
      <c r="Q336" s="178">
        <f>ROUND(N336/F336*100,1)</f>
        <v>32.6</v>
      </c>
    </row>
    <row r="337" spans="2:17" ht="26.25" customHeight="1">
      <c r="B337" s="239" t="str">
        <f>калькуляция!B357</f>
        <v>6.5.1.7.3.</v>
      </c>
      <c r="C337" s="272" t="str">
        <f>калькуляция!C357</f>
        <v>исследование с идентификацией до вида:</v>
      </c>
      <c r="D337" s="282"/>
      <c r="E337" s="208"/>
      <c r="F337" s="209"/>
      <c r="G337" s="311"/>
      <c r="H337" s="311"/>
      <c r="I337" s="311"/>
      <c r="J337" s="171"/>
      <c r="K337" s="320"/>
      <c r="L337" s="320"/>
      <c r="M337" s="210"/>
      <c r="N337" s="209"/>
      <c r="O337" s="174"/>
      <c r="P337" s="178"/>
      <c r="Q337" s="178"/>
    </row>
    <row r="338" spans="2:17" ht="15" customHeight="1">
      <c r="B338" s="237" t="str">
        <f>калькуляция!B358</f>
        <v>6.5.1.7.3.1.</v>
      </c>
      <c r="C338" s="265" t="str">
        <f>калькуляция!C358</f>
        <v>классическим методом</v>
      </c>
      <c r="D338" s="282" t="s">
        <v>54</v>
      </c>
      <c r="E338" s="208">
        <f>калькуляция!AE358</f>
        <v>7.54</v>
      </c>
      <c r="F338" s="209">
        <f>калькуляция!BS358</f>
        <v>7.54</v>
      </c>
      <c r="G338" s="311" t="s">
        <v>1056</v>
      </c>
      <c r="H338" s="311">
        <v>1.28</v>
      </c>
      <c r="I338" s="311">
        <v>1.28</v>
      </c>
      <c r="J338" s="171">
        <f>E338/H338*100-100</f>
        <v>489.0625</v>
      </c>
      <c r="K338" s="320">
        <f>H338</f>
        <v>1.28</v>
      </c>
      <c r="L338" s="320">
        <f>I338</f>
        <v>1.28</v>
      </c>
      <c r="M338" s="210">
        <f>MIN(E338,K338)</f>
        <v>1.28</v>
      </c>
      <c r="N338" s="209">
        <f>MIN(F338,L338)</f>
        <v>1.28</v>
      </c>
      <c r="O338" s="174">
        <f>M338/H338*100-100</f>
        <v>0</v>
      </c>
      <c r="P338" s="178">
        <f>ROUND(M338/E338*100,1)</f>
        <v>17</v>
      </c>
      <c r="Q338" s="178">
        <f>ROUND(N338/F338*100,1)</f>
        <v>17</v>
      </c>
    </row>
    <row r="339" spans="2:17" ht="15" customHeight="1">
      <c r="B339" s="239" t="str">
        <f>калькуляция!B359</f>
        <v>6.5.1.9.</v>
      </c>
      <c r="C339" s="272" t="str">
        <f>калькуляция!C359</f>
        <v>исследование на аэробные и факультативно-анаэробные микроорганизмы в желчи:</v>
      </c>
      <c r="D339" s="282"/>
      <c r="E339" s="208"/>
      <c r="F339" s="209"/>
      <c r="G339" s="311"/>
      <c r="H339" s="311"/>
      <c r="I339" s="311"/>
      <c r="J339" s="171"/>
      <c r="K339" s="320"/>
      <c r="L339" s="320"/>
      <c r="M339" s="210"/>
      <c r="N339" s="209"/>
      <c r="O339" s="174"/>
      <c r="P339" s="178"/>
      <c r="Q339" s="178"/>
    </row>
    <row r="340" spans="2:17" ht="15" customHeight="1">
      <c r="B340" s="237" t="str">
        <f>калькуляция!B360</f>
        <v>6.5.1.9.1.</v>
      </c>
      <c r="C340" s="265" t="str">
        <f>калькуляция!C360</f>
        <v>культуральное исследование при отсутствии микроорганизмов </v>
      </c>
      <c r="D340" s="282" t="s">
        <v>54</v>
      </c>
      <c r="E340" s="208">
        <f>калькуляция!AE360</f>
        <v>2.2399999999999998</v>
      </c>
      <c r="F340" s="209">
        <f>калькуляция!BS360</f>
        <v>2.2399999999999998</v>
      </c>
      <c r="G340" s="311" t="s">
        <v>1073</v>
      </c>
      <c r="H340" s="311">
        <v>0.51</v>
      </c>
      <c r="I340" s="311">
        <v>0.51</v>
      </c>
      <c r="J340" s="171">
        <f>E340/H340*100-100</f>
        <v>339.2156862745098</v>
      </c>
      <c r="K340" s="320">
        <f>H340</f>
        <v>0.51</v>
      </c>
      <c r="L340" s="320">
        <f>I340</f>
        <v>0.51</v>
      </c>
      <c r="M340" s="210">
        <f>MIN(E340,K340)</f>
        <v>0.51</v>
      </c>
      <c r="N340" s="209">
        <f>MIN(F340,L340)</f>
        <v>0.51</v>
      </c>
      <c r="O340" s="174">
        <f>M340/H340*100-100</f>
        <v>0</v>
      </c>
      <c r="P340" s="178">
        <f>ROUND(M340/E340*100,1)</f>
        <v>22.8</v>
      </c>
      <c r="Q340" s="178">
        <f>ROUND(N340/F340*100,1)</f>
        <v>22.8</v>
      </c>
    </row>
    <row r="341" spans="2:17" ht="15" customHeight="1">
      <c r="B341" s="237" t="str">
        <f>калькуляция!B361</f>
        <v>6.5.1.9.2.</v>
      </c>
      <c r="C341" s="265" t="str">
        <f>калькуляция!C361</f>
        <v>при выделении микроорганизмов с изучением морфологических свойств</v>
      </c>
      <c r="D341" s="282" t="s">
        <v>54</v>
      </c>
      <c r="E341" s="208">
        <f>калькуляция!AE361</f>
        <v>3.5200000000000005</v>
      </c>
      <c r="F341" s="209">
        <f>калькуляция!BS361</f>
        <v>3.5200000000000005</v>
      </c>
      <c r="G341" s="311" t="s">
        <v>1074</v>
      </c>
      <c r="H341" s="311">
        <v>0.51</v>
      </c>
      <c r="I341" s="311">
        <v>0.51</v>
      </c>
      <c r="J341" s="171">
        <f>E341/H341*100-100</f>
        <v>590.1960784313726</v>
      </c>
      <c r="K341" s="320">
        <f>H341</f>
        <v>0.51</v>
      </c>
      <c r="L341" s="320">
        <f>I341</f>
        <v>0.51</v>
      </c>
      <c r="M341" s="210">
        <f>MIN(E341,K341)</f>
        <v>0.51</v>
      </c>
      <c r="N341" s="209">
        <f>MIN(F341,L341)</f>
        <v>0.51</v>
      </c>
      <c r="O341" s="174">
        <f>M341/H341*100-100</f>
        <v>0</v>
      </c>
      <c r="P341" s="178">
        <f>ROUND(M341/E341*100,1)</f>
        <v>14.5</v>
      </c>
      <c r="Q341" s="178">
        <f>ROUND(N341/F341*100,1)</f>
        <v>14.5</v>
      </c>
    </row>
    <row r="342" spans="2:17" ht="15" customHeight="1">
      <c r="B342" s="239" t="str">
        <f>калькуляция!B362</f>
        <v>6.5.1.9.3.</v>
      </c>
      <c r="C342" s="272" t="str">
        <f>калькуляция!C362</f>
        <v>исследование с идентификацией до вида:</v>
      </c>
      <c r="D342" s="282"/>
      <c r="E342" s="208"/>
      <c r="F342" s="209"/>
      <c r="G342" s="311"/>
      <c r="H342" s="311"/>
      <c r="I342" s="311"/>
      <c r="J342" s="171"/>
      <c r="K342" s="320"/>
      <c r="L342" s="320"/>
      <c r="M342" s="210"/>
      <c r="N342" s="209"/>
      <c r="O342" s="174"/>
      <c r="P342" s="178"/>
      <c r="Q342" s="178"/>
    </row>
    <row r="343" spans="2:17" ht="15" customHeight="1">
      <c r="B343" s="237" t="str">
        <f>калькуляция!B363</f>
        <v>6.5.1.9.3.1.</v>
      </c>
      <c r="C343" s="265" t="str">
        <f>калькуляция!C363</f>
        <v>классическим методом</v>
      </c>
      <c r="D343" s="282" t="s">
        <v>54</v>
      </c>
      <c r="E343" s="208">
        <f>калькуляция!AE363</f>
        <v>6.35</v>
      </c>
      <c r="F343" s="209">
        <f>калькуляция!BS363</f>
        <v>6.35</v>
      </c>
      <c r="G343" s="311" t="s">
        <v>1074</v>
      </c>
      <c r="H343" s="311">
        <v>0.51</v>
      </c>
      <c r="I343" s="311">
        <v>0.51</v>
      </c>
      <c r="J343" s="171">
        <f>E343/H343*100-100</f>
        <v>1145.0980392156862</v>
      </c>
      <c r="K343" s="320">
        <f>H343</f>
        <v>0.51</v>
      </c>
      <c r="L343" s="320">
        <f>I343</f>
        <v>0.51</v>
      </c>
      <c r="M343" s="210">
        <f>MIN(E343,K343)</f>
        <v>0.51</v>
      </c>
      <c r="N343" s="209">
        <f>MIN(F343,L343)</f>
        <v>0.51</v>
      </c>
      <c r="O343" s="174">
        <f>M343/H343*100-100</f>
        <v>0</v>
      </c>
      <c r="P343" s="178">
        <f>ROUND(M343/E343*100,1)</f>
        <v>8</v>
      </c>
      <c r="Q343" s="178">
        <f>ROUND(N343/F343*100,1)</f>
        <v>8</v>
      </c>
    </row>
    <row r="344" spans="2:17" ht="15" customHeight="1">
      <c r="B344" s="239" t="str">
        <f>калькуляция!B364</f>
        <v>6.5.1.10.</v>
      </c>
      <c r="C344" s="272" t="str">
        <f>калькуляция!C364</f>
        <v>исследования на аэробные и факультативно-анаэробные микроорганизмы в отделяемом урогенитального тракта (уретра, половые органы):</v>
      </c>
      <c r="D344" s="282"/>
      <c r="E344" s="208"/>
      <c r="F344" s="209"/>
      <c r="G344" s="311"/>
      <c r="H344" s="311"/>
      <c r="I344" s="311"/>
      <c r="J344" s="171"/>
      <c r="K344" s="320"/>
      <c r="L344" s="320"/>
      <c r="M344" s="210"/>
      <c r="N344" s="209"/>
      <c r="O344" s="174"/>
      <c r="P344" s="178"/>
      <c r="Q344" s="178"/>
    </row>
    <row r="345" spans="2:17" ht="15" customHeight="1">
      <c r="B345" s="237" t="str">
        <f>калькуляция!B365</f>
        <v>6.5.1.10.1.</v>
      </c>
      <c r="C345" s="265" t="str">
        <f>калькуляция!C365</f>
        <v>культуральное исследование при отсутствии микроорганизмов </v>
      </c>
      <c r="D345" s="282" t="s">
        <v>54</v>
      </c>
      <c r="E345" s="208">
        <f>калькуляция!AE365</f>
        <v>2.77</v>
      </c>
      <c r="F345" s="209">
        <f>калькуляция!BS365</f>
        <v>2.77</v>
      </c>
      <c r="G345" s="311" t="s">
        <v>1080</v>
      </c>
      <c r="H345" s="311">
        <v>2.18</v>
      </c>
      <c r="I345" s="311">
        <v>2.18</v>
      </c>
      <c r="J345" s="171">
        <f>E345/H345*100-100</f>
        <v>27.064220183486214</v>
      </c>
      <c r="K345" s="320">
        <f>H345</f>
        <v>2.18</v>
      </c>
      <c r="L345" s="320">
        <f>I345</f>
        <v>2.18</v>
      </c>
      <c r="M345" s="210">
        <f>MIN(E345,K345)</f>
        <v>2.18</v>
      </c>
      <c r="N345" s="209">
        <f>MIN(F345,L345)</f>
        <v>2.18</v>
      </c>
      <c r="O345" s="174">
        <f>M345/H345*100-100</f>
        <v>0</v>
      </c>
      <c r="P345" s="178">
        <f>ROUND(M345/E345*100,1)</f>
        <v>78.7</v>
      </c>
      <c r="Q345" s="178">
        <f>ROUND(N345/F345*100,1)</f>
        <v>78.7</v>
      </c>
    </row>
    <row r="346" spans="2:17" ht="15" customHeight="1">
      <c r="B346" s="239" t="str">
        <f>калькуляция!B366</f>
        <v>6.5.1.10.2.</v>
      </c>
      <c r="C346" s="272" t="str">
        <f>калькуляция!C366</f>
        <v>при выделении микроорганизмов с изучением морфологических свойств:</v>
      </c>
      <c r="D346" s="282"/>
      <c r="E346" s="208"/>
      <c r="F346" s="209"/>
      <c r="G346" s="311"/>
      <c r="H346" s="311"/>
      <c r="I346" s="311"/>
      <c r="J346" s="171"/>
      <c r="K346" s="320"/>
      <c r="L346" s="320"/>
      <c r="M346" s="210"/>
      <c r="N346" s="209"/>
      <c r="O346" s="174"/>
      <c r="P346" s="178"/>
      <c r="Q346" s="178"/>
    </row>
    <row r="347" spans="2:17" ht="15" customHeight="1">
      <c r="B347" s="237" t="str">
        <f>калькуляция!B367</f>
        <v>6.5.1.10.2.1</v>
      </c>
      <c r="C347" s="265" t="str">
        <f>калькуляция!C367</f>
        <v>1-2 культурыв </v>
      </c>
      <c r="D347" s="282" t="s">
        <v>54</v>
      </c>
      <c r="E347" s="208">
        <f>калькуляция!AE367</f>
        <v>3.73</v>
      </c>
      <c r="F347" s="209">
        <f>калькуляция!BS367</f>
        <v>3.73</v>
      </c>
      <c r="G347" s="311" t="s">
        <v>1080</v>
      </c>
      <c r="H347" s="311">
        <v>2.18</v>
      </c>
      <c r="I347" s="311">
        <v>2.18</v>
      </c>
      <c r="J347" s="171">
        <f>E347/H347*100-100</f>
        <v>71.10091743119264</v>
      </c>
      <c r="K347" s="320">
        <f>H347</f>
        <v>2.18</v>
      </c>
      <c r="L347" s="320">
        <f>I347</f>
        <v>2.18</v>
      </c>
      <c r="M347" s="210">
        <f>MIN(E347,K347)</f>
        <v>2.18</v>
      </c>
      <c r="N347" s="209">
        <f>MIN(F347,L347)</f>
        <v>2.18</v>
      </c>
      <c r="O347" s="174">
        <f>M347/H347*100-100</f>
        <v>0</v>
      </c>
      <c r="P347" s="178">
        <f>ROUND(M347/E347*100,1)</f>
        <v>58.4</v>
      </c>
      <c r="Q347" s="178">
        <f>ROUND(N347/F347*100,1)</f>
        <v>58.4</v>
      </c>
    </row>
    <row r="348" spans="2:17" ht="15" customHeight="1">
      <c r="B348" s="237" t="str">
        <f>калькуляция!B368</f>
        <v>6.5.1.10.2.2</v>
      </c>
      <c r="C348" s="265" t="str">
        <f>калькуляция!C368</f>
        <v>3 и более культуры</v>
      </c>
      <c r="D348" s="282" t="s">
        <v>54</v>
      </c>
      <c r="E348" s="208">
        <f>калькуляция!AE368</f>
        <v>4.69</v>
      </c>
      <c r="F348" s="209">
        <f>калькуляция!BS368</f>
        <v>4.69</v>
      </c>
      <c r="G348" s="311" t="s">
        <v>1080</v>
      </c>
      <c r="H348" s="311">
        <v>2.18</v>
      </c>
      <c r="I348" s="311">
        <v>2.18</v>
      </c>
      <c r="J348" s="171">
        <f>E348/H348*100-100</f>
        <v>115.13761467889907</v>
      </c>
      <c r="K348" s="320">
        <f>H348</f>
        <v>2.18</v>
      </c>
      <c r="L348" s="320">
        <f>I348</f>
        <v>2.18</v>
      </c>
      <c r="M348" s="210">
        <f>MIN(E348,K348)</f>
        <v>2.18</v>
      </c>
      <c r="N348" s="209">
        <f>MIN(F348,L348)</f>
        <v>2.18</v>
      </c>
      <c r="O348" s="174">
        <f>M348/H348*100-100</f>
        <v>0</v>
      </c>
      <c r="P348" s="178">
        <f>ROUND(M348/E348*100,1)</f>
        <v>46.5</v>
      </c>
      <c r="Q348" s="178">
        <f>ROUND(N348/F348*100,1)</f>
        <v>46.5</v>
      </c>
    </row>
    <row r="349" spans="2:17" ht="15" customHeight="1">
      <c r="B349" s="239" t="str">
        <f>калькуляция!B369</f>
        <v>6.5.1.10.3.</v>
      </c>
      <c r="C349" s="272" t="str">
        <f>калькуляция!C369</f>
        <v>исследование с идентификацией до вида:</v>
      </c>
      <c r="D349" s="282"/>
      <c r="E349" s="208"/>
      <c r="F349" s="209"/>
      <c r="G349" s="311"/>
      <c r="H349" s="311"/>
      <c r="I349" s="311"/>
      <c r="J349" s="171"/>
      <c r="K349" s="320"/>
      <c r="L349" s="320"/>
      <c r="M349" s="210"/>
      <c r="N349" s="209"/>
      <c r="O349" s="174"/>
      <c r="P349" s="178"/>
      <c r="Q349" s="178"/>
    </row>
    <row r="350" spans="2:17" ht="15" customHeight="1">
      <c r="B350" s="237" t="str">
        <f>калькуляция!B370</f>
        <v>6.5.1.10.3.1</v>
      </c>
      <c r="C350" s="265" t="str">
        <f>калькуляция!C370</f>
        <v>классическим методом</v>
      </c>
      <c r="D350" s="282" t="s">
        <v>54</v>
      </c>
      <c r="E350" s="208">
        <f>калькуляция!AE370</f>
        <v>6.559999999999999</v>
      </c>
      <c r="F350" s="209">
        <f>калькуляция!BS370</f>
        <v>6.559999999999999</v>
      </c>
      <c r="G350" s="311" t="s">
        <v>1080</v>
      </c>
      <c r="H350" s="311">
        <v>2.18</v>
      </c>
      <c r="I350" s="311">
        <v>2.18</v>
      </c>
      <c r="J350" s="171">
        <f>E350/H350*100-100</f>
        <v>200.9174311926605</v>
      </c>
      <c r="K350" s="320">
        <f>H350</f>
        <v>2.18</v>
      </c>
      <c r="L350" s="320">
        <f>I350</f>
        <v>2.18</v>
      </c>
      <c r="M350" s="210">
        <f>MIN(E350,K350)</f>
        <v>2.18</v>
      </c>
      <c r="N350" s="209">
        <f>MIN(F350,L350)</f>
        <v>2.18</v>
      </c>
      <c r="O350" s="174">
        <f>M350/H350*100-100</f>
        <v>0</v>
      </c>
      <c r="P350" s="178">
        <f>ROUND(M350/E350*100,1)</f>
        <v>33.2</v>
      </c>
      <c r="Q350" s="178">
        <f>ROUND(N350/F350*100,1)</f>
        <v>33.2</v>
      </c>
    </row>
    <row r="351" spans="2:17" ht="15" customHeight="1">
      <c r="B351" s="239" t="str">
        <f>калькуляция!B371</f>
        <v>6.5.1.11.</v>
      </c>
      <c r="C351" s="272" t="str">
        <f>калькуляция!C371</f>
        <v>исследования на аэробные и факультативно-анаэробные микроорганизмы в отделяемом органов чувств (глаз, ухо):</v>
      </c>
      <c r="D351" s="282"/>
      <c r="E351" s="208"/>
      <c r="F351" s="209"/>
      <c r="G351" s="311"/>
      <c r="H351" s="311"/>
      <c r="I351" s="311"/>
      <c r="J351" s="171"/>
      <c r="K351" s="320"/>
      <c r="L351" s="320"/>
      <c r="M351" s="210"/>
      <c r="N351" s="209"/>
      <c r="O351" s="174"/>
      <c r="P351" s="178"/>
      <c r="Q351" s="178"/>
    </row>
    <row r="352" spans="2:17" ht="15" customHeight="1">
      <c r="B352" s="237" t="str">
        <f>калькуляция!B372</f>
        <v>6.5.1.11.1</v>
      </c>
      <c r="C352" s="265" t="str">
        <f>калькуляция!C372</f>
        <v>культуральное исследование при отсутствии микроорганизмов</v>
      </c>
      <c r="D352" s="282" t="s">
        <v>54</v>
      </c>
      <c r="E352" s="208">
        <f>калькуляция!AE372</f>
        <v>2.2399999999999998</v>
      </c>
      <c r="F352" s="209">
        <f>калькуляция!BS372</f>
        <v>2.2399999999999998</v>
      </c>
      <c r="G352" s="311" t="s">
        <v>1091</v>
      </c>
      <c r="H352" s="311">
        <v>0.61</v>
      </c>
      <c r="I352" s="311">
        <v>0.61</v>
      </c>
      <c r="J352" s="171">
        <f>E352/H352*100-100</f>
        <v>267.21311475409834</v>
      </c>
      <c r="K352" s="320">
        <f>H352</f>
        <v>0.61</v>
      </c>
      <c r="L352" s="320">
        <f>I352</f>
        <v>0.61</v>
      </c>
      <c r="M352" s="210">
        <f>MIN(E352,K352)</f>
        <v>0.61</v>
      </c>
      <c r="N352" s="209">
        <f>MIN(F352,L352)</f>
        <v>0.61</v>
      </c>
      <c r="O352" s="174">
        <f>M352/H352*100-100</f>
        <v>0</v>
      </c>
      <c r="P352" s="178">
        <f>ROUND(M352/E352*100,1)</f>
        <v>27.2</v>
      </c>
      <c r="Q352" s="178">
        <f>ROUND(N352/F352*100,1)</f>
        <v>27.2</v>
      </c>
    </row>
    <row r="353" spans="2:17" ht="15" customHeight="1">
      <c r="B353" s="237" t="str">
        <f>калькуляция!B373</f>
        <v>6.5.1.11.2</v>
      </c>
      <c r="C353" s="265" t="str">
        <f>калькуляция!C373</f>
        <v>при выделении микроорганизмов с изучением морфологических свойств</v>
      </c>
      <c r="D353" s="282" t="s">
        <v>54</v>
      </c>
      <c r="E353" s="208">
        <f>калькуляция!AE373</f>
        <v>3.73</v>
      </c>
      <c r="F353" s="209">
        <f>калькуляция!BS373</f>
        <v>3.73</v>
      </c>
      <c r="G353" s="311" t="s">
        <v>1091</v>
      </c>
      <c r="H353" s="311">
        <v>0.61</v>
      </c>
      <c r="I353" s="311">
        <v>0.61</v>
      </c>
      <c r="J353" s="171">
        <f>E353/H353*100-100</f>
        <v>511.47540983606564</v>
      </c>
      <c r="K353" s="320">
        <f>H353</f>
        <v>0.61</v>
      </c>
      <c r="L353" s="320">
        <f>I353</f>
        <v>0.61</v>
      </c>
      <c r="M353" s="210">
        <f>MIN(E353,K353)</f>
        <v>0.61</v>
      </c>
      <c r="N353" s="209">
        <f>MIN(F353,L353)</f>
        <v>0.61</v>
      </c>
      <c r="O353" s="174">
        <f>M353/H353*100-100</f>
        <v>0</v>
      </c>
      <c r="P353" s="178">
        <f>ROUND(M353/E353*100,1)</f>
        <v>16.4</v>
      </c>
      <c r="Q353" s="178">
        <f>ROUND(N353/F353*100,1)</f>
        <v>16.4</v>
      </c>
    </row>
    <row r="354" spans="2:17" ht="15" customHeight="1">
      <c r="B354" s="239" t="str">
        <f>калькуляция!B374</f>
        <v>6.5.1.11.3.</v>
      </c>
      <c r="C354" s="272" t="str">
        <f>калькуляция!C374</f>
        <v>исследование с идентификацией до вида:</v>
      </c>
      <c r="D354" s="282"/>
      <c r="E354" s="208"/>
      <c r="F354" s="209"/>
      <c r="G354" s="311"/>
      <c r="H354" s="311"/>
      <c r="I354" s="311"/>
      <c r="J354" s="171"/>
      <c r="K354" s="320"/>
      <c r="L354" s="320"/>
      <c r="M354" s="210"/>
      <c r="N354" s="209"/>
      <c r="O354" s="174"/>
      <c r="P354" s="178"/>
      <c r="Q354" s="178"/>
    </row>
    <row r="355" spans="2:17" ht="15" customHeight="1">
      <c r="B355" s="237" t="str">
        <f>калькуляция!B375</f>
        <v>6.5.1.11.3.1.</v>
      </c>
      <c r="C355" s="265" t="str">
        <f>калькуляция!C375</f>
        <v>классическим методом</v>
      </c>
      <c r="D355" s="282" t="s">
        <v>54</v>
      </c>
      <c r="E355" s="208">
        <f>калькуляция!AE375</f>
        <v>5.989999999999999</v>
      </c>
      <c r="F355" s="209">
        <f>калькуляция!BS375</f>
        <v>5.989999999999999</v>
      </c>
      <c r="G355" s="311" t="s">
        <v>1091</v>
      </c>
      <c r="H355" s="311">
        <v>0.61</v>
      </c>
      <c r="I355" s="311">
        <v>0.61</v>
      </c>
      <c r="J355" s="171">
        <f>E355/H355*100-100</f>
        <v>881.9672131147539</v>
      </c>
      <c r="K355" s="320">
        <f>H355</f>
        <v>0.61</v>
      </c>
      <c r="L355" s="320">
        <f>I355</f>
        <v>0.61</v>
      </c>
      <c r="M355" s="210">
        <f>MIN(E355,K355)</f>
        <v>0.61</v>
      </c>
      <c r="N355" s="209">
        <f>MIN(F355,L355)</f>
        <v>0.61</v>
      </c>
      <c r="O355" s="174">
        <f>M355/H355*100-100</f>
        <v>0</v>
      </c>
      <c r="P355" s="178">
        <f>ROUND(M355/E355*100,1)</f>
        <v>10.2</v>
      </c>
      <c r="Q355" s="178">
        <f>ROUND(N355/F355*100,1)</f>
        <v>10.2</v>
      </c>
    </row>
    <row r="356" spans="2:17" ht="25.5" customHeight="1">
      <c r="B356" s="239" t="s">
        <v>656</v>
      </c>
      <c r="C356" s="272" t="s">
        <v>657</v>
      </c>
      <c r="D356" s="282"/>
      <c r="E356" s="208"/>
      <c r="F356" s="209"/>
      <c r="G356" s="311"/>
      <c r="H356" s="311"/>
      <c r="I356" s="311"/>
      <c r="J356" s="319"/>
      <c r="K356" s="320"/>
      <c r="L356" s="320"/>
      <c r="M356" s="210"/>
      <c r="N356" s="209"/>
      <c r="O356" s="321"/>
      <c r="P356" s="322"/>
      <c r="Q356" s="322"/>
    </row>
    <row r="357" spans="2:17" ht="19.5" customHeight="1">
      <c r="B357" s="237" t="s">
        <v>658</v>
      </c>
      <c r="C357" s="265" t="s">
        <v>655</v>
      </c>
      <c r="D357" s="282" t="s">
        <v>54</v>
      </c>
      <c r="E357" s="208">
        <f>калькуляция!AE377</f>
        <v>1.4500000000000002</v>
      </c>
      <c r="F357" s="209">
        <f>калькуляция!BS377</f>
        <v>1.4500000000000002</v>
      </c>
      <c r="G357" s="311" t="s">
        <v>1057</v>
      </c>
      <c r="H357" s="311">
        <v>0.71</v>
      </c>
      <c r="I357" s="311">
        <v>0.71</v>
      </c>
      <c r="J357" s="171">
        <f>E357/H357*100-100</f>
        <v>104.22535211267609</v>
      </c>
      <c r="K357" s="320">
        <f>H357</f>
        <v>0.71</v>
      </c>
      <c r="L357" s="320">
        <f>I357</f>
        <v>0.71</v>
      </c>
      <c r="M357" s="210">
        <f>MIN(E357,K357)</f>
        <v>0.71</v>
      </c>
      <c r="N357" s="209">
        <f>MIN(F357,L357)</f>
        <v>0.71</v>
      </c>
      <c r="O357" s="174">
        <f>M357/H357*100-100</f>
        <v>0</v>
      </c>
      <c r="P357" s="178">
        <f>ROUND(M357/E357*100,1)</f>
        <v>49</v>
      </c>
      <c r="Q357" s="178">
        <f>ROUND(N357/F357*100,1)</f>
        <v>49</v>
      </c>
    </row>
    <row r="358" spans="2:17" ht="31.5" customHeight="1">
      <c r="B358" s="239" t="s">
        <v>659</v>
      </c>
      <c r="C358" s="272" t="s">
        <v>642</v>
      </c>
      <c r="D358" s="282"/>
      <c r="E358" s="208"/>
      <c r="F358" s="209"/>
      <c r="G358" s="311"/>
      <c r="H358" s="311"/>
      <c r="I358" s="311"/>
      <c r="J358" s="319"/>
      <c r="K358" s="320"/>
      <c r="L358" s="320"/>
      <c r="M358" s="210"/>
      <c r="N358" s="209"/>
      <c r="O358" s="321"/>
      <c r="P358" s="322"/>
      <c r="Q358" s="322"/>
    </row>
    <row r="359" spans="2:17" ht="19.5" customHeight="1">
      <c r="B359" s="237" t="s">
        <v>660</v>
      </c>
      <c r="C359" s="265" t="s">
        <v>624</v>
      </c>
      <c r="D359" s="282" t="s">
        <v>54</v>
      </c>
      <c r="E359" s="208">
        <f>калькуляция!AE379</f>
        <v>3.73</v>
      </c>
      <c r="F359" s="209">
        <f>калькуляция!BS379</f>
        <v>3.73</v>
      </c>
      <c r="G359" s="311" t="s">
        <v>1057</v>
      </c>
      <c r="H359" s="311">
        <v>0.71</v>
      </c>
      <c r="I359" s="311">
        <v>0.71</v>
      </c>
      <c r="J359" s="171">
        <f>E359/H359*100-100</f>
        <v>425.35211267605644</v>
      </c>
      <c r="K359" s="320">
        <f>H359</f>
        <v>0.71</v>
      </c>
      <c r="L359" s="320">
        <f>I359</f>
        <v>0.71</v>
      </c>
      <c r="M359" s="210">
        <f>MIN(E359,K359)</f>
        <v>0.71</v>
      </c>
      <c r="N359" s="209">
        <f>MIN(F359,L359)</f>
        <v>0.71</v>
      </c>
      <c r="O359" s="174">
        <f>M359/H359*100-100</f>
        <v>0</v>
      </c>
      <c r="P359" s="178">
        <f>ROUND(M359/E359*100,1)</f>
        <v>19</v>
      </c>
      <c r="Q359" s="178">
        <f>ROUND(N359/F359*100,1)</f>
        <v>19</v>
      </c>
    </row>
    <row r="360" spans="2:17" ht="18.75" customHeight="1">
      <c r="B360" s="237" t="s">
        <v>661</v>
      </c>
      <c r="C360" s="265" t="s">
        <v>626</v>
      </c>
      <c r="D360" s="282" t="s">
        <v>54</v>
      </c>
      <c r="E360" s="208">
        <f>калькуляция!AE380</f>
        <v>4.73</v>
      </c>
      <c r="F360" s="209">
        <f>калькуляция!BS380</f>
        <v>4.73</v>
      </c>
      <c r="G360" s="311" t="s">
        <v>1057</v>
      </c>
      <c r="H360" s="311">
        <v>0.71</v>
      </c>
      <c r="I360" s="311">
        <v>0.71</v>
      </c>
      <c r="J360" s="171">
        <f>E360/H360*100-100</f>
        <v>566.1971830985917</v>
      </c>
      <c r="K360" s="320">
        <f>H360</f>
        <v>0.71</v>
      </c>
      <c r="L360" s="320">
        <f>I360</f>
        <v>0.71</v>
      </c>
      <c r="M360" s="210">
        <f>MIN(E360,K360)</f>
        <v>0.71</v>
      </c>
      <c r="N360" s="209">
        <f>MIN(F360,L360)</f>
        <v>0.71</v>
      </c>
      <c r="O360" s="174">
        <f>M360/H360*100-100</f>
        <v>0</v>
      </c>
      <c r="P360" s="178">
        <f>ROUND(M360/E360*100,1)</f>
        <v>15</v>
      </c>
      <c r="Q360" s="178">
        <f>ROUND(N360/F360*100,1)</f>
        <v>15</v>
      </c>
    </row>
    <row r="361" spans="2:17" ht="17.25" customHeight="1">
      <c r="B361" s="239" t="s">
        <v>662</v>
      </c>
      <c r="C361" s="272" t="s">
        <v>634</v>
      </c>
      <c r="D361" s="282"/>
      <c r="E361" s="208"/>
      <c r="F361" s="209"/>
      <c r="G361" s="208"/>
      <c r="H361" s="211"/>
      <c r="I361" s="211"/>
      <c r="J361" s="319"/>
      <c r="K361" s="320"/>
      <c r="L361" s="320"/>
      <c r="M361" s="210"/>
      <c r="N361" s="209"/>
      <c r="O361" s="321"/>
      <c r="P361" s="322"/>
      <c r="Q361" s="322"/>
    </row>
    <row r="362" spans="2:17" ht="18.75" customHeight="1">
      <c r="B362" s="237" t="s">
        <v>663</v>
      </c>
      <c r="C362" s="265" t="s">
        <v>636</v>
      </c>
      <c r="D362" s="282" t="s">
        <v>54</v>
      </c>
      <c r="E362" s="208">
        <f>калькуляция!AE382</f>
        <v>5.569999999999999</v>
      </c>
      <c r="F362" s="209">
        <f>калькуляция!BS382</f>
        <v>5.569999999999999</v>
      </c>
      <c r="G362" s="311" t="str">
        <f>G360</f>
        <v>3.2.1.8</v>
      </c>
      <c r="H362" s="311">
        <f>H360</f>
        <v>0.71</v>
      </c>
      <c r="I362" s="311">
        <f>I360</f>
        <v>0.71</v>
      </c>
      <c r="J362" s="171">
        <f>E362/H362*100-100</f>
        <v>684.5070422535211</v>
      </c>
      <c r="K362" s="320">
        <f>H362</f>
        <v>0.71</v>
      </c>
      <c r="L362" s="320">
        <f>I362</f>
        <v>0.71</v>
      </c>
      <c r="M362" s="210">
        <f>MIN(E362,K362)</f>
        <v>0.71</v>
      </c>
      <c r="N362" s="209">
        <f>MIN(F362,L362)</f>
        <v>0.71</v>
      </c>
      <c r="O362" s="174">
        <f>M362/H362*100-100</f>
        <v>0</v>
      </c>
      <c r="P362" s="178">
        <f>ROUND(M362/E362*100,1)</f>
        <v>12.7</v>
      </c>
      <c r="Q362" s="178">
        <f>ROUND(N362/F362*100,1)</f>
        <v>12.7</v>
      </c>
    </row>
    <row r="363" spans="2:17" ht="12.75">
      <c r="B363" s="237" t="s">
        <v>664</v>
      </c>
      <c r="C363" s="265" t="s">
        <v>665</v>
      </c>
      <c r="D363" s="282" t="s">
        <v>54</v>
      </c>
      <c r="E363" s="208">
        <f>калькуляция!AE383</f>
        <v>3.77</v>
      </c>
      <c r="F363" s="209">
        <f>калькуляция!BS383</f>
        <v>3.77</v>
      </c>
      <c r="G363" s="311" t="s">
        <v>1058</v>
      </c>
      <c r="H363" s="311">
        <v>1.98</v>
      </c>
      <c r="I363" s="311">
        <v>0.83</v>
      </c>
      <c r="J363" s="171">
        <f>E363/H363*100-100</f>
        <v>90.40404040404039</v>
      </c>
      <c r="K363" s="320">
        <f>H363</f>
        <v>1.98</v>
      </c>
      <c r="L363" s="320">
        <f>I363</f>
        <v>0.83</v>
      </c>
      <c r="M363" s="210">
        <f>MIN(E363,K363)</f>
        <v>1.98</v>
      </c>
      <c r="N363" s="209">
        <f>MIN(F363,L363)</f>
        <v>0.83</v>
      </c>
      <c r="O363" s="174">
        <f>M363/H363*100-100</f>
        <v>0</v>
      </c>
      <c r="P363" s="178">
        <f>ROUND(M363/E363*100,1)</f>
        <v>52.5</v>
      </c>
      <c r="Q363" s="178">
        <f>ROUND(N363/F363*100,1)</f>
        <v>22</v>
      </c>
    </row>
    <row r="364" spans="2:17" ht="25.5" customHeight="1">
      <c r="B364" s="239" t="s">
        <v>666</v>
      </c>
      <c r="C364" s="272" t="s">
        <v>667</v>
      </c>
      <c r="D364" s="282"/>
      <c r="E364" s="208"/>
      <c r="F364" s="209"/>
      <c r="G364" s="208"/>
      <c r="H364" s="211"/>
      <c r="I364" s="211"/>
      <c r="J364" s="319"/>
      <c r="K364" s="320"/>
      <c r="L364" s="320"/>
      <c r="M364" s="320"/>
      <c r="N364" s="318"/>
      <c r="O364" s="321"/>
      <c r="P364" s="322"/>
      <c r="Q364" s="322"/>
    </row>
    <row r="365" spans="2:17" ht="19.5" customHeight="1">
      <c r="B365" s="237" t="s">
        <v>668</v>
      </c>
      <c r="C365" s="265" t="s">
        <v>669</v>
      </c>
      <c r="D365" s="282" t="s">
        <v>54</v>
      </c>
      <c r="E365" s="208">
        <f>калькуляция!AE385</f>
        <v>1.4200000000000002</v>
      </c>
      <c r="F365" s="209">
        <f>калькуляция!BS385</f>
        <v>0.9299999999999999</v>
      </c>
      <c r="G365" s="208" t="s">
        <v>1021</v>
      </c>
      <c r="H365" s="211">
        <v>0.11</v>
      </c>
      <c r="I365" s="211">
        <v>0.11</v>
      </c>
      <c r="J365" s="171">
        <f>E365/H365*100-100</f>
        <v>1190.909090909091</v>
      </c>
      <c r="K365" s="320">
        <f>H365</f>
        <v>0.11</v>
      </c>
      <c r="L365" s="320">
        <v>0.11</v>
      </c>
      <c r="M365" s="210">
        <f>MIN(E365,K365)</f>
        <v>0.11</v>
      </c>
      <c r="N365" s="209">
        <f>MIN(F365,L365)</f>
        <v>0.11</v>
      </c>
      <c r="O365" s="174">
        <f>M365/H365*100-100</f>
        <v>0</v>
      </c>
      <c r="P365" s="178">
        <f>ROUND(M365/E365*100,1)</f>
        <v>7.7</v>
      </c>
      <c r="Q365" s="178">
        <f>ROUND(N365/F365*100,1)</f>
        <v>11.8</v>
      </c>
    </row>
    <row r="366" spans="2:17" ht="17.25" customHeight="1">
      <c r="B366" s="237" t="s">
        <v>670</v>
      </c>
      <c r="C366" s="265" t="s">
        <v>671</v>
      </c>
      <c r="D366" s="282" t="s">
        <v>54</v>
      </c>
      <c r="E366" s="208">
        <f>калькуляция!AE386</f>
        <v>2.55</v>
      </c>
      <c r="F366" s="209">
        <f>калькуляция!BS386</f>
        <v>1.6800000000000002</v>
      </c>
      <c r="G366" s="208" t="s">
        <v>1022</v>
      </c>
      <c r="H366" s="211">
        <v>0.12</v>
      </c>
      <c r="I366" s="211">
        <v>0.12</v>
      </c>
      <c r="J366" s="171">
        <f>E366/H366*100-100</f>
        <v>2025</v>
      </c>
      <c r="K366" s="320">
        <f>H366</f>
        <v>0.12</v>
      </c>
      <c r="L366" s="320">
        <v>0.12</v>
      </c>
      <c r="M366" s="210">
        <f>MIN(E366,K366)</f>
        <v>0.12</v>
      </c>
      <c r="N366" s="209">
        <f>MIN(F366,L366)</f>
        <v>0.12</v>
      </c>
      <c r="O366" s="174">
        <f>M366/H366*100-100</f>
        <v>0</v>
      </c>
      <c r="P366" s="178">
        <f>ROUND(M366/E366*100,1)</f>
        <v>4.7</v>
      </c>
      <c r="Q366" s="178">
        <f>ROUND(N366/F366*100,1)</f>
        <v>7.1</v>
      </c>
    </row>
    <row r="367" spans="2:17" ht="25.5" customHeight="1">
      <c r="B367" s="239" t="s">
        <v>672</v>
      </c>
      <c r="C367" s="272" t="s">
        <v>673</v>
      </c>
      <c r="D367" s="282"/>
      <c r="E367" s="208"/>
      <c r="F367" s="209"/>
      <c r="G367" s="208"/>
      <c r="H367" s="211"/>
      <c r="I367" s="211"/>
      <c r="J367" s="319"/>
      <c r="K367" s="320"/>
      <c r="L367" s="320"/>
      <c r="M367" s="320"/>
      <c r="N367" s="318"/>
      <c r="O367" s="321"/>
      <c r="P367" s="322"/>
      <c r="Q367" s="322"/>
    </row>
    <row r="368" spans="2:17" ht="18.75" customHeight="1">
      <c r="B368" s="237" t="s">
        <v>674</v>
      </c>
      <c r="C368" s="265" t="s">
        <v>675</v>
      </c>
      <c r="D368" s="282" t="s">
        <v>54</v>
      </c>
      <c r="E368" s="208">
        <f>калькуляция!AE388</f>
        <v>2.06</v>
      </c>
      <c r="F368" s="209">
        <f>калькуляция!BS388</f>
        <v>1.33</v>
      </c>
      <c r="G368" s="208" t="s">
        <v>1023</v>
      </c>
      <c r="H368" s="211">
        <v>0.21</v>
      </c>
      <c r="I368" s="211">
        <v>0.21</v>
      </c>
      <c r="J368" s="171">
        <f>E368/H368*100-100</f>
        <v>880.952380952381</v>
      </c>
      <c r="K368" s="320">
        <f>H368</f>
        <v>0.21</v>
      </c>
      <c r="L368" s="320">
        <v>0.21</v>
      </c>
      <c r="M368" s="320">
        <f>MIN(E368,K368)</f>
        <v>0.21</v>
      </c>
      <c r="N368" s="318">
        <f>MIN(F368,L368)</f>
        <v>0.21</v>
      </c>
      <c r="O368" s="174">
        <f>M368/H368*100-100</f>
        <v>0</v>
      </c>
      <c r="P368" s="178">
        <f>ROUND(M368/E368*100,1)</f>
        <v>10.2</v>
      </c>
      <c r="Q368" s="178">
        <f>ROUND(N368/F368*100,1)</f>
        <v>15.8</v>
      </c>
    </row>
    <row r="369" spans="2:17" ht="22.5" customHeight="1">
      <c r="B369" s="394" t="str">
        <f>калькуляция!B389</f>
        <v>6.5.5.</v>
      </c>
      <c r="C369" s="359" t="str">
        <f>калькуляция!C389</f>
        <v>паразитологические исследования по диагностике и мониторингу инфекционных заболеваний:  </v>
      </c>
      <c r="D369" s="282"/>
      <c r="E369" s="208"/>
      <c r="F369" s="209"/>
      <c r="G369" s="208"/>
      <c r="H369" s="211"/>
      <c r="I369" s="211"/>
      <c r="J369" s="171"/>
      <c r="K369" s="320"/>
      <c r="L369" s="320"/>
      <c r="M369" s="320"/>
      <c r="N369" s="318"/>
      <c r="O369" s="174"/>
      <c r="P369" s="178"/>
      <c r="Q369" s="178"/>
    </row>
    <row r="370" spans="2:17" ht="12.75">
      <c r="B370" s="323" t="str">
        <f>калькуляция!B390</f>
        <v>6.5.5.1.</v>
      </c>
      <c r="C370" s="282" t="str">
        <f>калькуляция!C390</f>
        <v>обнаружение простейших</v>
      </c>
      <c r="D370" s="282" t="s">
        <v>54</v>
      </c>
      <c r="E370" s="208">
        <f>калькуляция!AE390</f>
        <v>1.4200000000000002</v>
      </c>
      <c r="F370" s="209">
        <f>калькуляция!BS390</f>
        <v>1.4200000000000002</v>
      </c>
      <c r="G370" s="208" t="s">
        <v>1124</v>
      </c>
      <c r="H370" s="211">
        <v>1.65</v>
      </c>
      <c r="I370" s="211">
        <v>0.83</v>
      </c>
      <c r="J370" s="171">
        <f aca="true" t="shared" si="100" ref="J370:J383">E370/H370*100-100</f>
        <v>-13.939393939393923</v>
      </c>
      <c r="K370" s="320">
        <f>H370</f>
        <v>1.65</v>
      </c>
      <c r="L370" s="320">
        <f>I370</f>
        <v>0.83</v>
      </c>
      <c r="M370" s="320">
        <f aca="true" t="shared" si="101" ref="M370:M383">MIN(E370,K370)</f>
        <v>1.4200000000000002</v>
      </c>
      <c r="N370" s="318">
        <f aca="true" t="shared" si="102" ref="N370:N383">MIN(F370,L370)</f>
        <v>0.83</v>
      </c>
      <c r="O370" s="174">
        <f aca="true" t="shared" si="103" ref="O370:O383">M370/H370*100-100</f>
        <v>-13.939393939393923</v>
      </c>
      <c r="P370" s="178">
        <f aca="true" t="shared" si="104" ref="P370:P383">ROUND(M370/E370*100,1)</f>
        <v>100</v>
      </c>
      <c r="Q370" s="178">
        <f aca="true" t="shared" si="105" ref="Q370:Q383">ROUND(N370/F370*100,1)</f>
        <v>58.5</v>
      </c>
    </row>
    <row r="371" spans="2:17" ht="12.75">
      <c r="B371" s="394" t="str">
        <f>калькуляция!B391</f>
        <v>6.5.5.2.</v>
      </c>
      <c r="C371" s="362" t="str">
        <f>калькуляция!C391</f>
        <v>обнаружение яиц гельминтов:  </v>
      </c>
      <c r="D371" s="282"/>
      <c r="E371" s="208"/>
      <c r="F371" s="209"/>
      <c r="G371" s="208"/>
      <c r="H371" s="211"/>
      <c r="I371" s="211"/>
      <c r="J371" s="171"/>
      <c r="K371" s="320"/>
      <c r="L371" s="320"/>
      <c r="M371" s="320"/>
      <c r="N371" s="318"/>
      <c r="O371" s="174"/>
      <c r="P371" s="178"/>
      <c r="Q371" s="178"/>
    </row>
    <row r="372" spans="2:17" ht="12.75">
      <c r="B372" s="323" t="str">
        <f>калькуляция!B392</f>
        <v>6.5.5.2.1.</v>
      </c>
      <c r="C372" s="282" t="str">
        <f>калькуляция!C392</f>
        <v>методом Като (1 препарат)</v>
      </c>
      <c r="D372" s="282" t="s">
        <v>54</v>
      </c>
      <c r="E372" s="208">
        <f>калькуляция!AE392</f>
        <v>1.87</v>
      </c>
      <c r="F372" s="209">
        <f>калькуляция!BS392</f>
        <v>1.87</v>
      </c>
      <c r="G372" s="208" t="s">
        <v>1127</v>
      </c>
      <c r="H372" s="211">
        <v>0.94</v>
      </c>
      <c r="I372" s="211">
        <v>0.94</v>
      </c>
      <c r="J372" s="171">
        <f t="shared" si="100"/>
        <v>98.93617021276597</v>
      </c>
      <c r="K372" s="320">
        <f>H372</f>
        <v>0.94</v>
      </c>
      <c r="L372" s="320">
        <f>I372</f>
        <v>0.94</v>
      </c>
      <c r="M372" s="320">
        <f t="shared" si="101"/>
        <v>0.94</v>
      </c>
      <c r="N372" s="318">
        <f t="shared" si="102"/>
        <v>0.94</v>
      </c>
      <c r="O372" s="174">
        <f t="shared" si="103"/>
        <v>0</v>
      </c>
      <c r="P372" s="178">
        <f t="shared" si="104"/>
        <v>50.3</v>
      </c>
      <c r="Q372" s="178">
        <f t="shared" si="105"/>
        <v>50.3</v>
      </c>
    </row>
    <row r="373" spans="2:17" ht="12.75">
      <c r="B373" s="323" t="str">
        <f>калькуляция!B393</f>
        <v>6.5.5.2.2.</v>
      </c>
      <c r="C373" s="282" t="str">
        <f>калькуляция!C393</f>
        <v>формалин-эфирным методом</v>
      </c>
      <c r="D373" s="282" t="s">
        <v>54</v>
      </c>
      <c r="E373" s="208">
        <f>калькуляция!AE393</f>
        <v>2.77</v>
      </c>
      <c r="F373" s="209">
        <f>калькуляция!BS393</f>
        <v>2.77</v>
      </c>
      <c r="G373" s="208"/>
      <c r="H373" s="211"/>
      <c r="I373" s="211"/>
      <c r="J373" s="171" t="e">
        <f t="shared" si="100"/>
        <v>#DIV/0!</v>
      </c>
      <c r="K373" s="326">
        <f>E373</f>
        <v>2.77</v>
      </c>
      <c r="L373" s="326">
        <f>F373</f>
        <v>2.77</v>
      </c>
      <c r="M373" s="326">
        <f t="shared" si="101"/>
        <v>2.77</v>
      </c>
      <c r="N373" s="403">
        <f t="shared" si="102"/>
        <v>2.77</v>
      </c>
      <c r="O373" s="174" t="e">
        <f t="shared" si="103"/>
        <v>#DIV/0!</v>
      </c>
      <c r="P373" s="178">
        <f t="shared" si="104"/>
        <v>100</v>
      </c>
      <c r="Q373" s="178">
        <f t="shared" si="105"/>
        <v>100</v>
      </c>
    </row>
    <row r="374" spans="2:17" ht="12.75">
      <c r="B374" s="323" t="str">
        <f>калькуляция!B394</f>
        <v>6.5.5.2.5.</v>
      </c>
      <c r="C374" s="282" t="str">
        <f>калькуляция!C394</f>
        <v>обнаружение анкилостом</v>
      </c>
      <c r="D374" s="282" t="s">
        <v>54</v>
      </c>
      <c r="E374" s="208">
        <f>калькуляция!AE394</f>
        <v>1.87</v>
      </c>
      <c r="F374" s="209">
        <f>калькуляция!BS394</f>
        <v>1.87</v>
      </c>
      <c r="G374" s="208"/>
      <c r="H374" s="211"/>
      <c r="I374" s="211"/>
      <c r="J374" s="171" t="e">
        <f t="shared" si="100"/>
        <v>#DIV/0!</v>
      </c>
      <c r="K374" s="326">
        <f>E374</f>
        <v>1.87</v>
      </c>
      <c r="L374" s="326">
        <f>F374</f>
        <v>1.87</v>
      </c>
      <c r="M374" s="326">
        <f t="shared" si="101"/>
        <v>1.87</v>
      </c>
      <c r="N374" s="403">
        <f t="shared" si="102"/>
        <v>1.87</v>
      </c>
      <c r="O374" s="174" t="e">
        <f t="shared" si="103"/>
        <v>#DIV/0!</v>
      </c>
      <c r="P374" s="178">
        <f t="shared" si="104"/>
        <v>100</v>
      </c>
      <c r="Q374" s="178">
        <f t="shared" si="105"/>
        <v>100</v>
      </c>
    </row>
    <row r="375" spans="2:17" ht="25.5">
      <c r="B375" s="394" t="str">
        <f>калькуляция!B395</f>
        <v>6.5.5.3.</v>
      </c>
      <c r="C375" s="364" t="str">
        <f>калькуляция!C395</f>
        <v>исследование перианального соскоба на яйца остриц и онкосферы тениид:</v>
      </c>
      <c r="D375" s="282"/>
      <c r="E375" s="208"/>
      <c r="F375" s="209"/>
      <c r="G375" s="208"/>
      <c r="H375" s="211"/>
      <c r="I375" s="211"/>
      <c r="J375" s="171"/>
      <c r="K375" s="320"/>
      <c r="L375" s="320"/>
      <c r="M375" s="320"/>
      <c r="N375" s="318"/>
      <c r="O375" s="174"/>
      <c r="P375" s="178"/>
      <c r="Q375" s="178"/>
    </row>
    <row r="376" spans="2:17" ht="12.75">
      <c r="B376" s="323" t="str">
        <f>калькуляция!B396</f>
        <v>6.5.5.3.1.</v>
      </c>
      <c r="C376" s="282" t="str">
        <f>калькуляция!C396</f>
        <v>методом липкой ленты</v>
      </c>
      <c r="D376" s="282" t="s">
        <v>54</v>
      </c>
      <c r="E376" s="208">
        <f>калькуляция!AE396</f>
        <v>1.87</v>
      </c>
      <c r="F376" s="209">
        <f>калькуляция!BS396</f>
        <v>1.87</v>
      </c>
      <c r="G376" s="208" t="s">
        <v>1125</v>
      </c>
      <c r="H376" s="211">
        <v>0.38</v>
      </c>
      <c r="I376" s="211">
        <v>0.38</v>
      </c>
      <c r="J376" s="171">
        <f t="shared" si="100"/>
        <v>392.1052631578948</v>
      </c>
      <c r="K376" s="320">
        <f>H376</f>
        <v>0.38</v>
      </c>
      <c r="L376" s="320">
        <f>I376</f>
        <v>0.38</v>
      </c>
      <c r="M376" s="320">
        <f t="shared" si="101"/>
        <v>0.38</v>
      </c>
      <c r="N376" s="318">
        <f t="shared" si="102"/>
        <v>0.38</v>
      </c>
      <c r="O376" s="174">
        <f t="shared" si="103"/>
        <v>0</v>
      </c>
      <c r="P376" s="178">
        <f t="shared" si="104"/>
        <v>20.3</v>
      </c>
      <c r="Q376" s="178">
        <f t="shared" si="105"/>
        <v>20.3</v>
      </c>
    </row>
    <row r="377" spans="2:17" ht="12.75">
      <c r="B377" s="394" t="str">
        <f>калькуляция!B397</f>
        <v>6.5.5.4.</v>
      </c>
      <c r="C377" s="362" t="str">
        <f>калькуляция!C397</f>
        <v>исследование кала на криптоспоридии:</v>
      </c>
      <c r="D377" s="282"/>
      <c r="E377" s="208"/>
      <c r="F377" s="209"/>
      <c r="G377" s="208"/>
      <c r="H377" s="211"/>
      <c r="I377" s="211"/>
      <c r="J377" s="171"/>
      <c r="K377" s="320"/>
      <c r="L377" s="320"/>
      <c r="M377" s="320"/>
      <c r="N377" s="318"/>
      <c r="O377" s="174"/>
      <c r="P377" s="178"/>
      <c r="Q377" s="178"/>
    </row>
    <row r="378" spans="2:17" ht="12.75">
      <c r="B378" s="323" t="str">
        <f>калькуляция!B398</f>
        <v>6.5.5.4.1.</v>
      </c>
      <c r="C378" s="282" t="str">
        <f>калькуляция!C398</f>
        <v>исследование кала на криптоспоридии методом микроскопии</v>
      </c>
      <c r="D378" s="282" t="s">
        <v>54</v>
      </c>
      <c r="E378" s="208">
        <f>калькуляция!AE398</f>
        <v>3.0100000000000002</v>
      </c>
      <c r="F378" s="209">
        <f>калькуляция!BS398</f>
        <v>3.0100000000000002</v>
      </c>
      <c r="G378" s="208"/>
      <c r="H378" s="211"/>
      <c r="I378" s="211"/>
      <c r="J378" s="171" t="e">
        <f t="shared" si="100"/>
        <v>#DIV/0!</v>
      </c>
      <c r="K378" s="326">
        <f>E378</f>
        <v>3.0100000000000002</v>
      </c>
      <c r="L378" s="326">
        <f>F378</f>
        <v>3.0100000000000002</v>
      </c>
      <c r="M378" s="326">
        <f t="shared" si="101"/>
        <v>3.0100000000000002</v>
      </c>
      <c r="N378" s="403">
        <f t="shared" si="102"/>
        <v>3.0100000000000002</v>
      </c>
      <c r="O378" s="174" t="e">
        <f t="shared" si="103"/>
        <v>#DIV/0!</v>
      </c>
      <c r="P378" s="178">
        <f t="shared" si="104"/>
        <v>100</v>
      </c>
      <c r="Q378" s="178">
        <f t="shared" si="105"/>
        <v>100</v>
      </c>
    </row>
    <row r="379" spans="2:17" ht="12.75">
      <c r="B379" s="394" t="str">
        <f>калькуляция!B399</f>
        <v>6.5.5.5.</v>
      </c>
      <c r="C379" s="362" t="str">
        <f>калькуляция!C399</f>
        <v>исследование кала на лямблиоз:</v>
      </c>
      <c r="D379" s="282"/>
      <c r="E379" s="208"/>
      <c r="F379" s="209"/>
      <c r="G379" s="208"/>
      <c r="H379" s="211"/>
      <c r="I379" s="211"/>
      <c r="J379" s="171"/>
      <c r="K379" s="320"/>
      <c r="L379" s="320"/>
      <c r="M379" s="320"/>
      <c r="N379" s="318"/>
      <c r="O379" s="174"/>
      <c r="P379" s="178"/>
      <c r="Q379" s="178"/>
    </row>
    <row r="380" spans="2:17" ht="12.75">
      <c r="B380" s="323" t="str">
        <f>калькуляция!B400</f>
        <v>6.5.5.5.1.</v>
      </c>
      <c r="C380" s="282" t="str">
        <f>калькуляция!C400</f>
        <v>обнаружение цист лямблий в кале</v>
      </c>
      <c r="D380" s="282" t="s">
        <v>54</v>
      </c>
      <c r="E380" s="208">
        <f>калькуляция!AE400</f>
        <v>1.92</v>
      </c>
      <c r="F380" s="209">
        <f>калькуляция!BS400</f>
        <v>1.92</v>
      </c>
      <c r="G380" s="208"/>
      <c r="H380" s="211"/>
      <c r="I380" s="211"/>
      <c r="J380" s="171" t="e">
        <f t="shared" si="100"/>
        <v>#DIV/0!</v>
      </c>
      <c r="K380" s="326">
        <f>E380</f>
        <v>1.92</v>
      </c>
      <c r="L380" s="326">
        <f>F380</f>
        <v>1.92</v>
      </c>
      <c r="M380" s="326">
        <f t="shared" si="101"/>
        <v>1.92</v>
      </c>
      <c r="N380" s="403">
        <f t="shared" si="102"/>
        <v>1.92</v>
      </c>
      <c r="O380" s="174" t="e">
        <f t="shared" si="103"/>
        <v>#DIV/0!</v>
      </c>
      <c r="P380" s="178">
        <f t="shared" si="104"/>
        <v>100</v>
      </c>
      <c r="Q380" s="178">
        <f t="shared" si="105"/>
        <v>100</v>
      </c>
    </row>
    <row r="381" spans="2:17" ht="12.75">
      <c r="B381" s="394" t="str">
        <f>калькуляция!B401</f>
        <v>6.5.5.7.</v>
      </c>
      <c r="C381" s="362" t="str">
        <f>калькуляция!C401</f>
        <v>исследование крови на малярийные паразиты:</v>
      </c>
      <c r="D381" s="282"/>
      <c r="E381" s="208"/>
      <c r="F381" s="209"/>
      <c r="G381" s="208"/>
      <c r="H381" s="211"/>
      <c r="I381" s="211"/>
      <c r="J381" s="171"/>
      <c r="K381" s="320"/>
      <c r="L381" s="320"/>
      <c r="M381" s="320"/>
      <c r="N381" s="318"/>
      <c r="O381" s="174"/>
      <c r="P381" s="178"/>
      <c r="Q381" s="178"/>
    </row>
    <row r="382" spans="2:17" ht="12.75">
      <c r="B382" s="323" t="str">
        <f>калькуляция!B402</f>
        <v>6.5.5.7.1.</v>
      </c>
      <c r="C382" s="282" t="str">
        <f>калькуляция!C402</f>
        <v>с приготовлением толстой капли (1 препарат)</v>
      </c>
      <c r="D382" s="282" t="s">
        <v>54</v>
      </c>
      <c r="E382" s="208">
        <f>калькуляция!AE402</f>
        <v>4.02</v>
      </c>
      <c r="F382" s="209">
        <f>калькуляция!BS402</f>
        <v>4.02</v>
      </c>
      <c r="G382" s="208" t="s">
        <v>1126</v>
      </c>
      <c r="H382" s="211">
        <v>1.82</v>
      </c>
      <c r="I382" s="211">
        <v>1.82</v>
      </c>
      <c r="J382" s="171">
        <f t="shared" si="100"/>
        <v>120.87912087912085</v>
      </c>
      <c r="K382" s="320">
        <f>H382</f>
        <v>1.82</v>
      </c>
      <c r="L382" s="320">
        <f>I382</f>
        <v>1.82</v>
      </c>
      <c r="M382" s="320">
        <f t="shared" si="101"/>
        <v>1.82</v>
      </c>
      <c r="N382" s="318">
        <f t="shared" si="102"/>
        <v>1.82</v>
      </c>
      <c r="O382" s="174">
        <f t="shared" si="103"/>
        <v>0</v>
      </c>
      <c r="P382" s="178">
        <f t="shared" si="104"/>
        <v>45.3</v>
      </c>
      <c r="Q382" s="178">
        <f t="shared" si="105"/>
        <v>45.3</v>
      </c>
    </row>
    <row r="383" spans="2:17" ht="12.75">
      <c r="B383" s="323" t="str">
        <f>калькуляция!B403</f>
        <v>6.5.5.7.2.</v>
      </c>
      <c r="C383" s="282" t="str">
        <f>калькуляция!C403</f>
        <v>в окрашенном мазке (1 препарат)</v>
      </c>
      <c r="D383" s="282" t="s">
        <v>54</v>
      </c>
      <c r="E383" s="208">
        <f>калькуляция!AE403</f>
        <v>3.41</v>
      </c>
      <c r="F383" s="209">
        <f>калькуляция!BS403</f>
        <v>3.41</v>
      </c>
      <c r="G383" s="208" t="s">
        <v>1126</v>
      </c>
      <c r="H383" s="211">
        <v>1.82</v>
      </c>
      <c r="I383" s="211">
        <v>1.82</v>
      </c>
      <c r="J383" s="171">
        <f t="shared" si="100"/>
        <v>87.36263736263737</v>
      </c>
      <c r="K383" s="320">
        <f>H383</f>
        <v>1.82</v>
      </c>
      <c r="L383" s="320">
        <f>I383</f>
        <v>1.82</v>
      </c>
      <c r="M383" s="320">
        <f t="shared" si="101"/>
        <v>1.82</v>
      </c>
      <c r="N383" s="318">
        <f t="shared" si="102"/>
        <v>1.82</v>
      </c>
      <c r="O383" s="174">
        <f t="shared" si="103"/>
        <v>0</v>
      </c>
      <c r="P383" s="178">
        <f t="shared" si="104"/>
        <v>53.4</v>
      </c>
      <c r="Q383" s="178">
        <f t="shared" si="105"/>
        <v>53.4</v>
      </c>
    </row>
  </sheetData>
  <sheetProtection/>
  <mergeCells count="20">
    <mergeCell ref="G11:G13"/>
    <mergeCell ref="G10:I10"/>
    <mergeCell ref="A9:B13"/>
    <mergeCell ref="C9:C13"/>
    <mergeCell ref="D9:D13"/>
    <mergeCell ref="E9:I9"/>
    <mergeCell ref="E10:F10"/>
    <mergeCell ref="E11:E13"/>
    <mergeCell ref="F11:F13"/>
    <mergeCell ref="H11:H13"/>
    <mergeCell ref="I11:I13"/>
    <mergeCell ref="P9:Q12"/>
    <mergeCell ref="J9:J13"/>
    <mergeCell ref="O9:O13"/>
    <mergeCell ref="K9:L10"/>
    <mergeCell ref="M9:N10"/>
    <mergeCell ref="K11:K13"/>
    <mergeCell ref="L11:L13"/>
    <mergeCell ref="M11:M13"/>
    <mergeCell ref="N11:N13"/>
  </mergeCells>
  <printOptions/>
  <pageMargins left="0.15748031496062992" right="0.15748031496062992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G384"/>
  <sheetViews>
    <sheetView tabSelected="1" zoomScalePageLayoutView="0" workbookViewId="0" topLeftCell="A360">
      <selection activeCell="K78" sqref="K78"/>
    </sheetView>
  </sheetViews>
  <sheetFormatPr defaultColWidth="9.00390625" defaultRowHeight="12.75"/>
  <cols>
    <col min="1" max="1" width="10.375" style="0" customWidth="1"/>
    <col min="2" max="2" width="47.375" style="0" customWidth="1"/>
    <col min="3" max="3" width="9.875" style="0" customWidth="1"/>
    <col min="4" max="4" width="7.125" style="0" customWidth="1"/>
    <col min="5" max="5" width="9.125" style="0" hidden="1" customWidth="1"/>
    <col min="6" max="6" width="9.375" style="0" customWidth="1"/>
    <col min="7" max="7" width="12.125" style="0" customWidth="1"/>
  </cols>
  <sheetData>
    <row r="1" spans="3:7" ht="14.25">
      <c r="C1" s="498" t="s">
        <v>24</v>
      </c>
      <c r="D1" s="498"/>
      <c r="E1" s="498"/>
      <c r="F1" s="498"/>
      <c r="G1" s="400"/>
    </row>
    <row r="2" spans="3:7" ht="14.25">
      <c r="C2" s="498" t="s">
        <v>1162</v>
      </c>
      <c r="D2" s="498"/>
      <c r="E2" s="498"/>
      <c r="F2" s="498"/>
      <c r="G2" s="400"/>
    </row>
    <row r="3" spans="3:7" ht="15.75" customHeight="1">
      <c r="C3" s="499" t="s">
        <v>1163</v>
      </c>
      <c r="D3" s="499"/>
      <c r="E3" s="499"/>
      <c r="F3" s="499"/>
      <c r="G3" s="499"/>
    </row>
    <row r="4" spans="1:7" ht="18" customHeight="1">
      <c r="A4" s="383" t="s">
        <v>25</v>
      </c>
      <c r="B4" s="384" t="s">
        <v>1161</v>
      </c>
      <c r="C4" s="385"/>
      <c r="D4" s="384"/>
      <c r="E4" s="386"/>
      <c r="F4" s="387"/>
      <c r="G4" s="388"/>
    </row>
    <row r="5" spans="1:7" ht="29.25" customHeight="1">
      <c r="A5" s="500" t="s">
        <v>1128</v>
      </c>
      <c r="B5" s="500"/>
      <c r="C5" s="500"/>
      <c r="D5" s="500"/>
      <c r="E5" s="500"/>
      <c r="F5" s="500"/>
      <c r="G5" s="500"/>
    </row>
    <row r="6" spans="1:7" ht="14.25">
      <c r="A6" s="501" t="s">
        <v>1129</v>
      </c>
      <c r="B6" s="501"/>
      <c r="C6" s="501"/>
      <c r="D6" s="501"/>
      <c r="E6" s="501"/>
      <c r="F6" s="501"/>
      <c r="G6" s="501"/>
    </row>
    <row r="7" spans="1:7" ht="12.75">
      <c r="A7" s="497" t="s">
        <v>1130</v>
      </c>
      <c r="B7" s="497"/>
      <c r="C7" s="497"/>
      <c r="D7" s="497"/>
      <c r="E7" s="497"/>
      <c r="F7" s="497"/>
      <c r="G7" s="497"/>
    </row>
    <row r="8" spans="1:7" ht="12.75">
      <c r="A8" s="497" t="s">
        <v>1168</v>
      </c>
      <c r="B8" s="497"/>
      <c r="C8" s="497"/>
      <c r="D8" s="497"/>
      <c r="E8" s="497"/>
      <c r="F8" s="497"/>
      <c r="G8" s="497"/>
    </row>
    <row r="9" spans="1:7" ht="12" customHeight="1">
      <c r="A9" s="399"/>
      <c r="B9" s="399"/>
      <c r="C9" s="399"/>
      <c r="D9" s="399"/>
      <c r="E9" s="399"/>
      <c r="F9" s="399"/>
      <c r="G9" s="399"/>
    </row>
    <row r="10" spans="1:7" ht="12.75">
      <c r="A10" s="503" t="s">
        <v>31</v>
      </c>
      <c r="B10" s="503" t="s">
        <v>92</v>
      </c>
      <c r="C10" s="503" t="s">
        <v>93</v>
      </c>
      <c r="D10" s="507" t="s">
        <v>131</v>
      </c>
      <c r="E10" s="508"/>
      <c r="F10" s="508"/>
      <c r="G10" s="503" t="s">
        <v>132</v>
      </c>
    </row>
    <row r="11" spans="1:7" ht="12.75" customHeight="1">
      <c r="A11" s="504"/>
      <c r="B11" s="505"/>
      <c r="C11" s="506"/>
      <c r="D11" s="508"/>
      <c r="E11" s="508"/>
      <c r="F11" s="508"/>
      <c r="G11" s="503"/>
    </row>
    <row r="12" spans="1:7" ht="12.75">
      <c r="A12" s="504"/>
      <c r="B12" s="505"/>
      <c r="C12" s="506"/>
      <c r="D12" s="509" t="s">
        <v>97</v>
      </c>
      <c r="E12" s="509" t="s">
        <v>98</v>
      </c>
      <c r="F12" s="509"/>
      <c r="G12" s="503"/>
    </row>
    <row r="13" spans="1:7" ht="12.75" customHeight="1">
      <c r="A13" s="504"/>
      <c r="B13" s="505"/>
      <c r="C13" s="506"/>
      <c r="D13" s="509"/>
      <c r="E13" s="509"/>
      <c r="F13" s="509"/>
      <c r="G13" s="503"/>
    </row>
    <row r="14" spans="1:7" ht="12.75">
      <c r="A14" s="504"/>
      <c r="B14" s="505"/>
      <c r="C14" s="506"/>
      <c r="D14" s="509"/>
      <c r="E14" s="509"/>
      <c r="F14" s="509"/>
      <c r="G14" s="503"/>
    </row>
    <row r="15" spans="1:3" ht="12.75">
      <c r="A15" s="68"/>
      <c r="B15" s="30"/>
      <c r="C15" s="156"/>
    </row>
    <row r="16" spans="1:3" ht="0.75" customHeight="1">
      <c r="A16" s="9"/>
      <c r="B16" s="32"/>
      <c r="C16" s="156"/>
    </row>
    <row r="17" spans="1:7" ht="15.75">
      <c r="A17" s="380" t="s">
        <v>137</v>
      </c>
      <c r="B17" s="379" t="s">
        <v>138</v>
      </c>
      <c r="C17" s="294"/>
      <c r="D17" s="295"/>
      <c r="E17" s="295"/>
      <c r="F17" s="295"/>
      <c r="G17" s="295"/>
    </row>
    <row r="18" spans="1:7" ht="12.75">
      <c r="A18" s="296"/>
      <c r="B18" s="297"/>
      <c r="C18" s="298"/>
      <c r="D18" s="295"/>
      <c r="E18" s="295"/>
      <c r="F18" s="295"/>
      <c r="G18" s="295"/>
    </row>
    <row r="19" spans="1:7" ht="25.5">
      <c r="A19" s="340" t="s">
        <v>139</v>
      </c>
      <c r="B19" s="405" t="s">
        <v>140</v>
      </c>
      <c r="C19" s="342" t="s">
        <v>704</v>
      </c>
      <c r="D19" s="365">
        <f>7.97*1.06</f>
        <v>8.4482</v>
      </c>
      <c r="E19" s="366"/>
      <c r="F19" s="367">
        <f>'[1]сравнительная таблица'!N21</f>
        <v>0</v>
      </c>
      <c r="G19" s="368"/>
    </row>
    <row r="20" spans="1:7" ht="25.5">
      <c r="A20" s="340" t="s">
        <v>141</v>
      </c>
      <c r="B20" s="341" t="s">
        <v>142</v>
      </c>
      <c r="C20" s="342" t="s">
        <v>705</v>
      </c>
      <c r="D20" s="365">
        <f>11.16*1.06</f>
        <v>11.829600000000001</v>
      </c>
      <c r="E20" s="366"/>
      <c r="F20" s="367">
        <f>2.03*1.06</f>
        <v>2.1517999999999997</v>
      </c>
      <c r="G20" s="406"/>
    </row>
    <row r="21" spans="1:7" ht="25.5">
      <c r="A21" s="425" t="s">
        <v>1011</v>
      </c>
      <c r="B21" s="341" t="str">
        <f>'[1]сравнительная таблица'!C23</f>
        <v>разработка и оформление программы лабораторных исследований, испытаний</v>
      </c>
      <c r="C21" s="340" t="str">
        <f>'[1]сравнительная таблица'!D23</f>
        <v>программа</v>
      </c>
      <c r="D21" s="365">
        <f>11.16*1.06</f>
        <v>11.829600000000001</v>
      </c>
      <c r="E21" s="366"/>
      <c r="F21" s="367">
        <f>3.07*1.06</f>
        <v>3.2542</v>
      </c>
      <c r="G21" s="406"/>
    </row>
    <row r="22" spans="1:7" ht="30" customHeight="1">
      <c r="A22" s="340" t="s">
        <v>143</v>
      </c>
      <c r="B22" s="341" t="s">
        <v>144</v>
      </c>
      <c r="C22" s="342" t="s">
        <v>706</v>
      </c>
      <c r="D22" s="365">
        <f>16.84*1.06</f>
        <v>17.8504</v>
      </c>
      <c r="E22" s="366"/>
      <c r="F22" s="367">
        <f>2.13*1.06</f>
        <v>2.2578</v>
      </c>
      <c r="G22" s="406"/>
    </row>
    <row r="23" spans="1:7" ht="38.25" customHeight="1">
      <c r="A23" s="340" t="s">
        <v>145</v>
      </c>
      <c r="B23" s="341" t="s">
        <v>146</v>
      </c>
      <c r="C23" s="342" t="s">
        <v>707</v>
      </c>
      <c r="D23" s="365">
        <f>6.91*1.06</f>
        <v>7.3246</v>
      </c>
      <c r="E23" s="366"/>
      <c r="F23" s="367">
        <f>2*1.06</f>
        <v>2.12</v>
      </c>
      <c r="G23" s="368"/>
    </row>
    <row r="24" spans="1:7" ht="30" customHeight="1">
      <c r="A24" s="340" t="s">
        <v>147</v>
      </c>
      <c r="B24" s="341" t="s">
        <v>148</v>
      </c>
      <c r="C24" s="342" t="s">
        <v>708</v>
      </c>
      <c r="D24" s="365">
        <f>13.95*1.06</f>
        <v>14.787</v>
      </c>
      <c r="E24" s="366"/>
      <c r="F24" s="367">
        <f>2.78*1.06</f>
        <v>2.9468</v>
      </c>
      <c r="G24" s="368"/>
    </row>
    <row r="25" spans="1:7" ht="84" customHeight="1">
      <c r="A25" s="340" t="s">
        <v>149</v>
      </c>
      <c r="B25" s="341" t="s">
        <v>150</v>
      </c>
      <c r="C25" s="342" t="s">
        <v>709</v>
      </c>
      <c r="D25" s="365">
        <f>0.24*1.06</f>
        <v>0.2544</v>
      </c>
      <c r="E25" s="366"/>
      <c r="F25" s="367">
        <f>0.24*1.06</f>
        <v>0.2544</v>
      </c>
      <c r="G25" s="368"/>
    </row>
    <row r="26" spans="1:7" ht="51">
      <c r="A26" s="340" t="s">
        <v>153</v>
      </c>
      <c r="B26" s="341" t="s">
        <v>154</v>
      </c>
      <c r="C26" s="342" t="s">
        <v>710</v>
      </c>
      <c r="D26" s="365">
        <f>10.32*1.06</f>
        <v>10.939200000000001</v>
      </c>
      <c r="E26" s="366"/>
      <c r="F26" s="367">
        <v>0</v>
      </c>
      <c r="G26" s="368"/>
    </row>
    <row r="27" spans="1:7" ht="38.25">
      <c r="A27" s="340" t="s">
        <v>155</v>
      </c>
      <c r="B27" s="341" t="s">
        <v>156</v>
      </c>
      <c r="C27" s="342" t="s">
        <v>710</v>
      </c>
      <c r="D27" s="365">
        <f>10.32*1.06</f>
        <v>10.939200000000001</v>
      </c>
      <c r="E27" s="366"/>
      <c r="F27" s="367">
        <f>'[1]сравнительная таблица'!N29</f>
        <v>0</v>
      </c>
      <c r="G27" s="368"/>
    </row>
    <row r="28" spans="1:7" ht="25.5">
      <c r="A28" s="340" t="s">
        <v>1008</v>
      </c>
      <c r="B28" s="341" t="s">
        <v>1009</v>
      </c>
      <c r="C28" s="340" t="str">
        <f>'[1]сравнительная таблица'!D30</f>
        <v>консультация</v>
      </c>
      <c r="D28" s="365">
        <f>13.83*1.06</f>
        <v>14.6598</v>
      </c>
      <c r="E28" s="366"/>
      <c r="F28" s="367">
        <f>'[1]сравнительная таблица'!N30</f>
        <v>0</v>
      </c>
      <c r="G28" s="368"/>
    </row>
    <row r="29" spans="1:7" ht="27.75" customHeight="1">
      <c r="A29" s="349" t="s">
        <v>157</v>
      </c>
      <c r="B29" s="350" t="s">
        <v>158</v>
      </c>
      <c r="C29" s="342"/>
      <c r="D29" s="365"/>
      <c r="E29" s="366"/>
      <c r="F29" s="367"/>
      <c r="G29" s="368"/>
    </row>
    <row r="30" spans="1:7" ht="16.5" customHeight="1">
      <c r="A30" s="340" t="s">
        <v>159</v>
      </c>
      <c r="B30" s="341" t="s">
        <v>160</v>
      </c>
      <c r="C30" s="342" t="s">
        <v>710</v>
      </c>
      <c r="D30" s="365">
        <f>10.98*1.06</f>
        <v>11.638800000000002</v>
      </c>
      <c r="E30" s="366"/>
      <c r="F30" s="367">
        <f>'[1]сравнительная таблица'!N32</f>
        <v>0</v>
      </c>
      <c r="G30" s="368"/>
    </row>
    <row r="31" spans="1:7" ht="25.5">
      <c r="A31" s="340" t="s">
        <v>161</v>
      </c>
      <c r="B31" s="341" t="s">
        <v>162</v>
      </c>
      <c r="C31" s="342" t="s">
        <v>710</v>
      </c>
      <c r="D31" s="365">
        <f>30.45*1.06</f>
        <v>32.277</v>
      </c>
      <c r="E31" s="366"/>
      <c r="F31" s="367">
        <f>'[1]сравнительная таблица'!N33</f>
        <v>0</v>
      </c>
      <c r="G31" s="368"/>
    </row>
    <row r="32" spans="1:7" ht="38.25">
      <c r="A32" s="340" t="s">
        <v>163</v>
      </c>
      <c r="B32" s="341" t="s">
        <v>164</v>
      </c>
      <c r="C32" s="342" t="s">
        <v>710</v>
      </c>
      <c r="D32" s="365">
        <f>15.23*1.06</f>
        <v>16.143800000000002</v>
      </c>
      <c r="E32" s="366"/>
      <c r="F32" s="367">
        <f>'[1]сравнительная таблица'!N34</f>
        <v>0</v>
      </c>
      <c r="G32" s="368"/>
    </row>
    <row r="33" spans="1:7" ht="51">
      <c r="A33" s="340" t="s">
        <v>1013</v>
      </c>
      <c r="B33" s="341" t="s">
        <v>1148</v>
      </c>
      <c r="C33" s="342" t="s">
        <v>710</v>
      </c>
      <c r="D33" s="365">
        <f>5.09*1.06</f>
        <v>5.3954</v>
      </c>
      <c r="E33" s="366"/>
      <c r="F33" s="367">
        <f>'[1]сравнительная таблица'!N35</f>
        <v>0</v>
      </c>
      <c r="G33" s="368"/>
    </row>
    <row r="34" spans="1:7" ht="63.75" customHeight="1">
      <c r="A34" s="340" t="s">
        <v>167</v>
      </c>
      <c r="B34" s="341" t="s">
        <v>168</v>
      </c>
      <c r="C34" s="342" t="s">
        <v>710</v>
      </c>
      <c r="D34" s="365">
        <f>15.23*1.06</f>
        <v>16.143800000000002</v>
      </c>
      <c r="E34" s="366"/>
      <c r="F34" s="367">
        <f>'[1]сравнительная таблица'!N36</f>
        <v>0</v>
      </c>
      <c r="G34" s="368"/>
    </row>
    <row r="35" spans="1:7" ht="66" customHeight="1">
      <c r="A35" s="340" t="s">
        <v>169</v>
      </c>
      <c r="B35" s="341" t="s">
        <v>170</v>
      </c>
      <c r="C35" s="342" t="s">
        <v>710</v>
      </c>
      <c r="D35" s="365">
        <f>7.65*1.06</f>
        <v>8.109</v>
      </c>
      <c r="E35" s="366"/>
      <c r="F35" s="367">
        <f>2.44*1.06</f>
        <v>2.5864000000000003</v>
      </c>
      <c r="G35" s="368"/>
    </row>
    <row r="36" spans="1:7" ht="51">
      <c r="A36" s="349" t="s">
        <v>171</v>
      </c>
      <c r="B36" s="350" t="s">
        <v>172</v>
      </c>
      <c r="C36" s="342"/>
      <c r="D36" s="365"/>
      <c r="E36" s="366"/>
      <c r="F36" s="367"/>
      <c r="G36" s="368"/>
    </row>
    <row r="37" spans="1:7" ht="12.75">
      <c r="A37" s="340" t="s">
        <v>173</v>
      </c>
      <c r="B37" s="341" t="s">
        <v>174</v>
      </c>
      <c r="C37" s="342" t="s">
        <v>711</v>
      </c>
      <c r="D37" s="365">
        <f>15.23*1.06</f>
        <v>16.143800000000002</v>
      </c>
      <c r="E37" s="366"/>
      <c r="F37" s="367">
        <f>'[1]сравнительная таблица'!N39</f>
        <v>0</v>
      </c>
      <c r="G37" s="368"/>
    </row>
    <row r="38" spans="1:7" ht="12.75">
      <c r="A38" s="340" t="s">
        <v>175</v>
      </c>
      <c r="B38" s="341" t="s">
        <v>176</v>
      </c>
      <c r="C38" s="342" t="s">
        <v>704</v>
      </c>
      <c r="D38" s="365">
        <f>1.88*1.06</f>
        <v>1.9928</v>
      </c>
      <c r="E38" s="366"/>
      <c r="F38" s="367">
        <f>'[1]сравнительная таблица'!N40</f>
        <v>0</v>
      </c>
      <c r="G38" s="368"/>
    </row>
    <row r="39" spans="1:7" ht="25.5">
      <c r="A39" s="340" t="s">
        <v>854</v>
      </c>
      <c r="B39" s="341" t="s">
        <v>855</v>
      </c>
      <c r="C39" s="342" t="str">
        <f>C37</f>
        <v>занятие</v>
      </c>
      <c r="D39" s="365">
        <f>16.22*1.06</f>
        <v>17.1932</v>
      </c>
      <c r="E39" s="366"/>
      <c r="F39" s="367">
        <f>'[1]сравнительная таблица'!N41</f>
        <v>0</v>
      </c>
      <c r="G39" s="368"/>
    </row>
    <row r="40" spans="1:7" ht="51">
      <c r="A40" s="340" t="s">
        <v>177</v>
      </c>
      <c r="B40" s="341" t="s">
        <v>178</v>
      </c>
      <c r="C40" s="342" t="s">
        <v>712</v>
      </c>
      <c r="D40" s="365">
        <f>35.98*1.06</f>
        <v>38.138799999999996</v>
      </c>
      <c r="E40" s="366"/>
      <c r="F40" s="367">
        <f>'[1]сравнительная таблица'!N42</f>
        <v>0</v>
      </c>
      <c r="G40" s="368"/>
    </row>
    <row r="41" spans="1:7" ht="39" customHeight="1">
      <c r="A41" s="340" t="s">
        <v>179</v>
      </c>
      <c r="B41" s="341" t="s">
        <v>180</v>
      </c>
      <c r="C41" s="342" t="s">
        <v>713</v>
      </c>
      <c r="D41" s="365">
        <f>8.8*1.06</f>
        <v>9.328000000000001</v>
      </c>
      <c r="E41" s="366"/>
      <c r="F41" s="367">
        <f>'[1]сравнительная таблица'!N43</f>
        <v>0</v>
      </c>
      <c r="G41" s="368"/>
    </row>
    <row r="42" spans="1:7" ht="25.5">
      <c r="A42" s="349" t="s">
        <v>181</v>
      </c>
      <c r="B42" s="350" t="s">
        <v>182</v>
      </c>
      <c r="C42" s="342"/>
      <c r="D42" s="365"/>
      <c r="E42" s="366"/>
      <c r="F42" s="367"/>
      <c r="G42" s="368"/>
    </row>
    <row r="43" spans="1:7" ht="38.25">
      <c r="A43" s="340" t="s">
        <v>183</v>
      </c>
      <c r="B43" s="341" t="s">
        <v>184</v>
      </c>
      <c r="C43" s="342" t="s">
        <v>714</v>
      </c>
      <c r="D43" s="365">
        <f>4.2*1.06</f>
        <v>4.452000000000001</v>
      </c>
      <c r="E43" s="366"/>
      <c r="F43" s="367">
        <f>'[1]сравнительная таблица'!N45</f>
        <v>0</v>
      </c>
      <c r="G43" s="368"/>
    </row>
    <row r="44" spans="1:7" ht="38.25">
      <c r="A44" s="340" t="s">
        <v>185</v>
      </c>
      <c r="B44" s="341" t="s">
        <v>186</v>
      </c>
      <c r="C44" s="342" t="s">
        <v>714</v>
      </c>
      <c r="D44" s="365">
        <f>2.78*1.06</f>
        <v>2.9468</v>
      </c>
      <c r="E44" s="366"/>
      <c r="F44" s="367">
        <f>'[1]сравнительная таблица'!N46</f>
        <v>0</v>
      </c>
      <c r="G44" s="368"/>
    </row>
    <row r="45" spans="1:7" ht="38.25">
      <c r="A45" s="340" t="s">
        <v>187</v>
      </c>
      <c r="B45" s="341" t="s">
        <v>188</v>
      </c>
      <c r="C45" s="342" t="s">
        <v>714</v>
      </c>
      <c r="D45" s="365">
        <f>6.25*1.06</f>
        <v>6.625</v>
      </c>
      <c r="E45" s="366"/>
      <c r="F45" s="367">
        <f>'[1]сравнительная таблица'!N47</f>
        <v>0</v>
      </c>
      <c r="G45" s="368"/>
    </row>
    <row r="46" spans="1:7" ht="41.25" customHeight="1">
      <c r="A46" s="340" t="s">
        <v>189</v>
      </c>
      <c r="B46" s="341" t="s">
        <v>190</v>
      </c>
      <c r="C46" s="342" t="s">
        <v>714</v>
      </c>
      <c r="D46" s="365">
        <f>12.71*1.06</f>
        <v>13.472600000000002</v>
      </c>
      <c r="E46" s="366"/>
      <c r="F46" s="367">
        <f>'[1]сравнительная таблица'!N48</f>
        <v>0</v>
      </c>
      <c r="G46" s="368"/>
    </row>
    <row r="47" spans="1:7" ht="41.25" customHeight="1">
      <c r="A47" s="340" t="s">
        <v>191</v>
      </c>
      <c r="B47" s="341" t="s">
        <v>192</v>
      </c>
      <c r="C47" s="342" t="s">
        <v>714</v>
      </c>
      <c r="D47" s="365">
        <f>15.94*1.06</f>
        <v>16.8964</v>
      </c>
      <c r="E47" s="366"/>
      <c r="F47" s="367">
        <f>'[1]сравнительная таблица'!N49</f>
        <v>0</v>
      </c>
      <c r="G47" s="368"/>
    </row>
    <row r="48" spans="1:7" ht="40.5" customHeight="1">
      <c r="A48" s="340" t="s">
        <v>193</v>
      </c>
      <c r="B48" s="341" t="s">
        <v>194</v>
      </c>
      <c r="C48" s="342" t="s">
        <v>714</v>
      </c>
      <c r="D48" s="365">
        <f>20.98*1.06</f>
        <v>22.2388</v>
      </c>
      <c r="E48" s="366"/>
      <c r="F48" s="367">
        <f>'[1]сравнительная таблица'!N50</f>
        <v>0</v>
      </c>
      <c r="G48" s="368"/>
    </row>
    <row r="49" spans="1:7" ht="42.75" customHeight="1">
      <c r="A49" s="340" t="s">
        <v>195</v>
      </c>
      <c r="B49" s="341" t="s">
        <v>196</v>
      </c>
      <c r="C49" s="342" t="s">
        <v>714</v>
      </c>
      <c r="D49" s="365">
        <f>26.64*1.06</f>
        <v>28.238400000000002</v>
      </c>
      <c r="E49" s="366"/>
      <c r="F49" s="367">
        <f>'[1]сравнительная таблица'!N51</f>
        <v>0</v>
      </c>
      <c r="G49" s="368"/>
    </row>
    <row r="50" spans="1:7" ht="40.5" customHeight="1">
      <c r="A50" s="340" t="s">
        <v>197</v>
      </c>
      <c r="B50" s="341" t="s">
        <v>198</v>
      </c>
      <c r="C50" s="342" t="s">
        <v>714</v>
      </c>
      <c r="D50" s="365">
        <f>107.94*1.06</f>
        <v>114.41640000000001</v>
      </c>
      <c r="E50" s="366"/>
      <c r="F50" s="367">
        <f>'[1]сравнительная таблица'!N52</f>
        <v>0</v>
      </c>
      <c r="G50" s="368"/>
    </row>
    <row r="51" spans="1:7" ht="39" customHeight="1">
      <c r="A51" s="340" t="s">
        <v>199</v>
      </c>
      <c r="B51" s="341" t="s">
        <v>200</v>
      </c>
      <c r="C51" s="342" t="s">
        <v>714</v>
      </c>
      <c r="D51" s="365">
        <f>119.91*1.06</f>
        <v>127.1046</v>
      </c>
      <c r="E51" s="366"/>
      <c r="F51" s="367">
        <f>'[1]сравнительная таблица'!N53</f>
        <v>0</v>
      </c>
      <c r="G51" s="368"/>
    </row>
    <row r="52" spans="1:7" ht="39" customHeight="1">
      <c r="A52" s="349" t="s">
        <v>201</v>
      </c>
      <c r="B52" s="350" t="s">
        <v>202</v>
      </c>
      <c r="C52" s="342"/>
      <c r="D52" s="365"/>
      <c r="E52" s="366"/>
      <c r="F52" s="367"/>
      <c r="G52" s="368"/>
    </row>
    <row r="53" spans="1:7" ht="45.75" customHeight="1">
      <c r="A53" s="340" t="s">
        <v>1149</v>
      </c>
      <c r="B53" s="341" t="s">
        <v>1150</v>
      </c>
      <c r="C53" s="340" t="str">
        <f>C54</f>
        <v>экспертиза</v>
      </c>
      <c r="D53" s="424">
        <f>12.72*1.06</f>
        <v>13.483200000000002</v>
      </c>
      <c r="E53" s="341">
        <f>'[1]сравнительная таблица'!F55</f>
        <v>0</v>
      </c>
      <c r="F53" s="407">
        <v>0</v>
      </c>
      <c r="G53" s="368"/>
    </row>
    <row r="54" spans="1:7" ht="109.5" customHeight="1">
      <c r="A54" s="340" t="s">
        <v>203</v>
      </c>
      <c r="B54" s="341" t="s">
        <v>204</v>
      </c>
      <c r="C54" s="342" t="s">
        <v>41</v>
      </c>
      <c r="D54" s="365">
        <f>7.4*1.06</f>
        <v>7.844000000000001</v>
      </c>
      <c r="E54" s="366"/>
      <c r="F54" s="367">
        <f>'[1]сравнительная таблица'!N56</f>
        <v>0</v>
      </c>
      <c r="G54" s="368"/>
    </row>
    <row r="55" spans="1:7" ht="109.5" customHeight="1">
      <c r="A55" s="340" t="s">
        <v>205</v>
      </c>
      <c r="B55" s="341" t="s">
        <v>206</v>
      </c>
      <c r="C55" s="342" t="s">
        <v>41</v>
      </c>
      <c r="D55" s="365">
        <f>11.09*1.06</f>
        <v>11.7554</v>
      </c>
      <c r="E55" s="366"/>
      <c r="F55" s="367">
        <f>'[1]сравнительная таблица'!N57</f>
        <v>0</v>
      </c>
      <c r="G55" s="368"/>
    </row>
    <row r="56" spans="1:7" ht="113.25" customHeight="1">
      <c r="A56" s="340" t="s">
        <v>207</v>
      </c>
      <c r="B56" s="341" t="s">
        <v>208</v>
      </c>
      <c r="C56" s="342" t="s">
        <v>41</v>
      </c>
      <c r="D56" s="365">
        <f>15.15*1.05</f>
        <v>15.9075</v>
      </c>
      <c r="E56" s="366"/>
      <c r="F56" s="367">
        <f>'[1]сравнительная таблица'!N58</f>
        <v>0</v>
      </c>
      <c r="G56" s="368"/>
    </row>
    <row r="57" spans="1:7" ht="113.25" customHeight="1">
      <c r="A57" s="340" t="s">
        <v>209</v>
      </c>
      <c r="B57" s="341" t="s">
        <v>210</v>
      </c>
      <c r="C57" s="342" t="s">
        <v>41</v>
      </c>
      <c r="D57" s="365">
        <f>18*1.06</f>
        <v>19.080000000000002</v>
      </c>
      <c r="E57" s="366"/>
      <c r="F57" s="367">
        <f>'[1]сравнительная таблица'!N59</f>
        <v>0</v>
      </c>
      <c r="G57" s="368"/>
    </row>
    <row r="58" spans="1:7" ht="54.75" customHeight="1">
      <c r="A58" s="340" t="s">
        <v>211</v>
      </c>
      <c r="B58" s="341" t="s">
        <v>212</v>
      </c>
      <c r="C58" s="342" t="s">
        <v>41</v>
      </c>
      <c r="D58" s="365">
        <f>7.4*1.06</f>
        <v>7.844000000000001</v>
      </c>
      <c r="E58" s="366"/>
      <c r="F58" s="367">
        <f>'[1]сравнительная таблица'!N60</f>
        <v>0</v>
      </c>
      <c r="G58" s="368"/>
    </row>
    <row r="59" spans="1:7" ht="41.25">
      <c r="A59" s="340" t="s">
        <v>213</v>
      </c>
      <c r="B59" s="341" t="s">
        <v>214</v>
      </c>
      <c r="C59" s="342" t="s">
        <v>41</v>
      </c>
      <c r="D59" s="365">
        <f>11.09*1.06</f>
        <v>11.7554</v>
      </c>
      <c r="E59" s="366"/>
      <c r="F59" s="367">
        <f>'[1]сравнительная таблица'!N61</f>
        <v>0</v>
      </c>
      <c r="G59" s="368"/>
    </row>
    <row r="60" spans="1:7" ht="41.25">
      <c r="A60" s="340" t="s">
        <v>215</v>
      </c>
      <c r="B60" s="341" t="s">
        <v>216</v>
      </c>
      <c r="C60" s="342" t="s">
        <v>41</v>
      </c>
      <c r="D60" s="365">
        <f>15.15*1.06</f>
        <v>16.059</v>
      </c>
      <c r="E60" s="366"/>
      <c r="F60" s="367">
        <f>'[1]сравнительная таблица'!N62</f>
        <v>0</v>
      </c>
      <c r="G60" s="368"/>
    </row>
    <row r="61" spans="1:7" ht="41.25">
      <c r="A61" s="340" t="s">
        <v>217</v>
      </c>
      <c r="B61" s="341" t="s">
        <v>218</v>
      </c>
      <c r="C61" s="342" t="s">
        <v>41</v>
      </c>
      <c r="D61" s="365">
        <f>18*1.06</f>
        <v>19.080000000000002</v>
      </c>
      <c r="E61" s="366"/>
      <c r="F61" s="367">
        <f>'[1]сравнительная таблица'!N63</f>
        <v>0</v>
      </c>
      <c r="G61" s="368"/>
    </row>
    <row r="62" spans="1:7" ht="89.25">
      <c r="A62" s="340" t="s">
        <v>219</v>
      </c>
      <c r="B62" s="341" t="s">
        <v>220</v>
      </c>
      <c r="C62" s="342" t="s">
        <v>41</v>
      </c>
      <c r="D62" s="365">
        <f>309.54*1.06</f>
        <v>328.11240000000004</v>
      </c>
      <c r="E62" s="366"/>
      <c r="F62" s="367">
        <f>'[1]сравнительная таблица'!N64</f>
        <v>0</v>
      </c>
      <c r="G62" s="408"/>
    </row>
    <row r="63" spans="1:7" ht="93" customHeight="1">
      <c r="A63" s="340" t="s">
        <v>225</v>
      </c>
      <c r="B63" s="341" t="s">
        <v>226</v>
      </c>
      <c r="C63" s="342" t="s">
        <v>41</v>
      </c>
      <c r="D63" s="365">
        <f>59.94*1.06</f>
        <v>63.5364</v>
      </c>
      <c r="E63" s="366"/>
      <c r="F63" s="367">
        <f>'[1]сравнительная таблица'!N65</f>
        <v>0</v>
      </c>
      <c r="G63" s="368"/>
    </row>
    <row r="64" spans="1:7" ht="25.5">
      <c r="A64" s="340" t="s">
        <v>227</v>
      </c>
      <c r="B64" s="341" t="s">
        <v>228</v>
      </c>
      <c r="C64" s="342" t="s">
        <v>41</v>
      </c>
      <c r="D64" s="365">
        <f>73.94*1.06</f>
        <v>78.3764</v>
      </c>
      <c r="E64" s="366"/>
      <c r="F64" s="367">
        <f>'[1]сравнительная таблица'!N66</f>
        <v>0</v>
      </c>
      <c r="G64" s="368"/>
    </row>
    <row r="65" spans="1:7" ht="25.5">
      <c r="A65" s="340" t="s">
        <v>229</v>
      </c>
      <c r="B65" s="341" t="s">
        <v>230</v>
      </c>
      <c r="C65" s="342" t="s">
        <v>41</v>
      </c>
      <c r="D65" s="365">
        <f>95.9*1.06</f>
        <v>101.65400000000001</v>
      </c>
      <c r="E65" s="366"/>
      <c r="F65" s="367">
        <f>'[1]сравнительная таблица'!N67</f>
        <v>0</v>
      </c>
      <c r="G65" s="368"/>
    </row>
    <row r="66" spans="1:7" ht="25.5">
      <c r="A66" s="340" t="s">
        <v>231</v>
      </c>
      <c r="B66" s="341" t="s">
        <v>232</v>
      </c>
      <c r="C66" s="342" t="s">
        <v>41</v>
      </c>
      <c r="D66" s="365">
        <f>109.92*1.06</f>
        <v>116.51520000000001</v>
      </c>
      <c r="E66" s="366"/>
      <c r="F66" s="367">
        <f>'[1]сравнительная таблица'!N68</f>
        <v>0</v>
      </c>
      <c r="G66" s="368"/>
    </row>
    <row r="67" spans="1:7" ht="25.5">
      <c r="A67" s="340" t="s">
        <v>233</v>
      </c>
      <c r="B67" s="341" t="s">
        <v>234</v>
      </c>
      <c r="C67" s="342" t="s">
        <v>41</v>
      </c>
      <c r="D67" s="365">
        <f>177.87*1.06</f>
        <v>188.5422</v>
      </c>
      <c r="E67" s="366"/>
      <c r="F67" s="367">
        <f>'[1]сравнительная таблица'!N69</f>
        <v>0</v>
      </c>
      <c r="G67" s="368"/>
    </row>
    <row r="68" spans="1:7" ht="25.5">
      <c r="A68" s="340" t="s">
        <v>235</v>
      </c>
      <c r="B68" s="341" t="s">
        <v>236</v>
      </c>
      <c r="C68" s="342" t="s">
        <v>704</v>
      </c>
      <c r="D68" s="365">
        <f>88.84*1.06</f>
        <v>94.17040000000001</v>
      </c>
      <c r="E68" s="366"/>
      <c r="F68" s="367">
        <f>'[1]сравнительная таблица'!N70</f>
        <v>0</v>
      </c>
      <c r="G68" s="368"/>
    </row>
    <row r="69" spans="1:7" ht="12.75">
      <c r="A69" s="349" t="s">
        <v>237</v>
      </c>
      <c r="B69" s="350" t="s">
        <v>238</v>
      </c>
      <c r="C69" s="342"/>
      <c r="D69" s="365"/>
      <c r="E69" s="366"/>
      <c r="F69" s="367"/>
      <c r="G69" s="368"/>
    </row>
    <row r="70" spans="1:7" ht="105" customHeight="1">
      <c r="A70" s="340" t="s">
        <v>239</v>
      </c>
      <c r="B70" s="341" t="s">
        <v>240</v>
      </c>
      <c r="C70" s="342" t="s">
        <v>704</v>
      </c>
      <c r="D70" s="365">
        <f>63.44*1.06</f>
        <v>67.2464</v>
      </c>
      <c r="E70" s="366"/>
      <c r="F70" s="367">
        <f>'[1]сравнительная таблица'!N72</f>
        <v>0</v>
      </c>
      <c r="G70" s="368"/>
    </row>
    <row r="71" spans="1:7" ht="47.25" customHeight="1">
      <c r="A71" s="349" t="s">
        <v>241</v>
      </c>
      <c r="B71" s="350" t="s">
        <v>1019</v>
      </c>
      <c r="C71" s="342"/>
      <c r="D71" s="365"/>
      <c r="E71" s="366"/>
      <c r="F71" s="367"/>
      <c r="G71" s="368"/>
    </row>
    <row r="72" spans="1:7" ht="12.75">
      <c r="A72" s="340" t="s">
        <v>243</v>
      </c>
      <c r="B72" s="341" t="s">
        <v>244</v>
      </c>
      <c r="C72" s="342" t="s">
        <v>704</v>
      </c>
      <c r="D72" s="365">
        <f>88.84*1.06</f>
        <v>94.17040000000001</v>
      </c>
      <c r="E72" s="366"/>
      <c r="F72" s="367">
        <f>'[1]сравнительная таблица'!N74</f>
        <v>0</v>
      </c>
      <c r="G72" s="368"/>
    </row>
    <row r="73" spans="1:7" ht="12.75">
      <c r="A73" s="340" t="s">
        <v>245</v>
      </c>
      <c r="B73" s="341" t="s">
        <v>246</v>
      </c>
      <c r="C73" s="342" t="s">
        <v>704</v>
      </c>
      <c r="D73" s="365">
        <f>88.84*1.06</f>
        <v>94.17040000000001</v>
      </c>
      <c r="E73" s="366"/>
      <c r="F73" s="367">
        <f>'[1]сравнительная таблица'!N75</f>
        <v>0</v>
      </c>
      <c r="G73" s="368"/>
    </row>
    <row r="74" spans="1:7" ht="40.5" customHeight="1">
      <c r="A74" s="432" t="s">
        <v>1164</v>
      </c>
      <c r="B74" s="341" t="s">
        <v>1165</v>
      </c>
      <c r="C74" s="342" t="s">
        <v>41</v>
      </c>
      <c r="D74" s="365">
        <f>312.7*1.06</f>
        <v>331.462</v>
      </c>
      <c r="E74" s="366"/>
      <c r="F74" s="367"/>
      <c r="G74" s="368"/>
    </row>
    <row r="75" spans="1:7" ht="48" customHeight="1">
      <c r="A75" s="409" t="s">
        <v>692</v>
      </c>
      <c r="B75" s="410" t="s">
        <v>693</v>
      </c>
      <c r="C75" s="342"/>
      <c r="D75" s="365"/>
      <c r="E75" s="366"/>
      <c r="F75" s="367"/>
      <c r="G75" s="368"/>
    </row>
    <row r="76" spans="1:7" ht="18" customHeight="1">
      <c r="A76" s="376" t="s">
        <v>856</v>
      </c>
      <c r="B76" s="393" t="s">
        <v>1151</v>
      </c>
      <c r="C76" s="342"/>
      <c r="D76" s="365"/>
      <c r="E76" s="366"/>
      <c r="F76" s="367"/>
      <c r="G76" s="368"/>
    </row>
    <row r="77" spans="1:7" ht="25.5">
      <c r="A77" s="342" t="str">
        <f>'[1]сравнительная таблица'!B80</f>
        <v>2.1.1.</v>
      </c>
      <c r="B77" s="353" t="str">
        <f>'[1]сравнительная таблица'!C80</f>
        <v>воздух атмосферы, жилых, общественных, административных и бытовых помещений:</v>
      </c>
      <c r="C77" s="342" t="s">
        <v>54</v>
      </c>
      <c r="D77" s="365">
        <f>4.03*1.06</f>
        <v>4.271800000000001</v>
      </c>
      <c r="E77" s="366"/>
      <c r="F77" s="367">
        <f>2.4*1.06</f>
        <v>2.544</v>
      </c>
      <c r="G77" s="368"/>
    </row>
    <row r="78" spans="1:7" ht="29.25" customHeight="1">
      <c r="A78" s="342" t="str">
        <f>'[1]сравнительная таблица'!B81</f>
        <v>2.1.1.1.2.</v>
      </c>
      <c r="B78" s="353" t="str">
        <f>'[1]сравнительная таблица'!C81</f>
        <v>определение диоксида азота (СФМ, на сорбционные трубки)</v>
      </c>
      <c r="C78" s="342" t="str">
        <f>'[1]сравнительная таблица'!D81</f>
        <v>исследов.</v>
      </c>
      <c r="D78" s="365">
        <f>4.03*1.06</f>
        <v>4.271800000000001</v>
      </c>
      <c r="E78" s="366"/>
      <c r="F78" s="367">
        <f>2.32*1.06</f>
        <v>2.4592</v>
      </c>
      <c r="G78" s="368"/>
    </row>
    <row r="79" spans="1:7" ht="15" customHeight="1">
      <c r="A79" s="342" t="str">
        <f>'[1]сравнительная таблица'!B82</f>
        <v>2.1.1.31.4.</v>
      </c>
      <c r="B79" s="353" t="str">
        <f>'[1]сравнительная таблица'!C82</f>
        <v>определение диоксида серы (СФМ с хлоридом бария)</v>
      </c>
      <c r="C79" s="342" t="str">
        <f>'[1]сравнительная таблица'!D82</f>
        <v>исследов.</v>
      </c>
      <c r="D79" s="365">
        <f>6.33*1.06</f>
        <v>6.7098</v>
      </c>
      <c r="E79" s="366"/>
      <c r="F79" s="367">
        <f>3.17*1.06</f>
        <v>3.3602000000000003</v>
      </c>
      <c r="G79" s="368"/>
    </row>
    <row r="80" spans="1:7" ht="15" customHeight="1">
      <c r="A80" s="342" t="str">
        <f>'[1]сравнительная таблица'!B83</f>
        <v>2.1.1.70</v>
      </c>
      <c r="B80" s="353" t="str">
        <f>'[1]сравнительная таблица'!C83</f>
        <v>определение пыли (взвешенных веществ) </v>
      </c>
      <c r="C80" s="342" t="str">
        <f>'[1]сравнительная таблица'!D83</f>
        <v>исследов.</v>
      </c>
      <c r="D80" s="365">
        <f>4.77*1.06</f>
        <v>5.0562</v>
      </c>
      <c r="E80" s="366"/>
      <c r="F80" s="367">
        <f>2.27*1.06</f>
        <v>2.4062</v>
      </c>
      <c r="G80" s="368"/>
    </row>
    <row r="81" spans="1:7" ht="15" customHeight="1">
      <c r="A81" s="342" t="str">
        <f>'[1]сравнительная таблица'!B84</f>
        <v>2.1.1.87</v>
      </c>
      <c r="B81" s="353" t="str">
        <f>'[1]сравнительная таблица'!C84</f>
        <v>определение оксида углерода (электро-химический метод) </v>
      </c>
      <c r="C81" s="342" t="str">
        <f>'[1]сравнительная таблица'!D84</f>
        <v>исследов.</v>
      </c>
      <c r="D81" s="365">
        <f>4.77*1.06</f>
        <v>5.0562</v>
      </c>
      <c r="E81" s="366"/>
      <c r="F81" s="367">
        <f>2.27*1.06</f>
        <v>2.4062</v>
      </c>
      <c r="G81" s="368"/>
    </row>
    <row r="82" spans="1:7" ht="15" customHeight="1">
      <c r="A82" s="376" t="s">
        <v>879</v>
      </c>
      <c r="B82" s="393" t="s">
        <v>1152</v>
      </c>
      <c r="C82" s="342"/>
      <c r="D82" s="365"/>
      <c r="E82" s="366"/>
      <c r="F82" s="367"/>
      <c r="G82" s="368"/>
    </row>
    <row r="83" spans="1:7" ht="94.5" customHeight="1">
      <c r="A83" s="342" t="str">
        <f>'[1]сравнительная таблица'!B85</f>
        <v>2.1.2.199.</v>
      </c>
      <c r="B83" s="353" t="str">
        <f>'[1]сравнительная таблица'!C85</f>
        <v>экспресс-измерение электрохимическим детектором на газоанализаторе Колион-1В-02: аммиак; ацетон; бутан; бензин; бутилацетат; бензол; винилацетат; гексан; гептан; керосин; диэтиловый эфир; ксилол; метилацетат метилэтилкетон; нефрас; н-октан; пропилен; пент</v>
      </c>
      <c r="C83" s="342" t="str">
        <f>'[1]сравнительная таблица'!D85</f>
        <v>исследов.</v>
      </c>
      <c r="D83" s="365">
        <f>4.77*1.06</f>
        <v>5.0562</v>
      </c>
      <c r="E83" s="366"/>
      <c r="F83" s="367">
        <f>2.38*1.06</f>
        <v>2.5228</v>
      </c>
      <c r="G83" s="368"/>
    </row>
    <row r="84" spans="1:7" ht="15" customHeight="1">
      <c r="A84" s="342" t="str">
        <f>'[1]сравнительная таблица'!B86</f>
        <v>2.1.2.201</v>
      </c>
      <c r="B84" s="353" t="str">
        <f>'[1]сравнительная таблица'!C86</f>
        <v>оформление протокола результатов испытаний </v>
      </c>
      <c r="C84" s="342" t="str">
        <f>'[1]сравнительная таблица'!D86</f>
        <v>исследов.</v>
      </c>
      <c r="D84" s="365">
        <f>4.06*1.06</f>
        <v>4.303599999999999</v>
      </c>
      <c r="E84" s="366"/>
      <c r="F84" s="367">
        <f>1.05*1.06</f>
        <v>1.1130000000000002</v>
      </c>
      <c r="G84" s="368"/>
    </row>
    <row r="85" spans="1:7" ht="13.5" customHeight="1">
      <c r="A85" s="342" t="str">
        <f>'[1]сравнительная таблица'!B87</f>
        <v>2.1.2.202</v>
      </c>
      <c r="B85" s="353" t="str">
        <f>'[1]сравнительная таблица'!C87</f>
        <v>учет поступления образца в лабораторию </v>
      </c>
      <c r="C85" s="342" t="str">
        <f>'[1]сравнительная таблица'!D87</f>
        <v>исследов.</v>
      </c>
      <c r="D85" s="365">
        <f>2.46*1.06</f>
        <v>2.6076</v>
      </c>
      <c r="E85" s="366"/>
      <c r="F85" s="367">
        <f>1.45*1.06</f>
        <v>1.537</v>
      </c>
      <c r="G85" s="368"/>
    </row>
    <row r="86" spans="1:7" ht="25.5" customHeight="1">
      <c r="A86" s="342" t="str">
        <f>'[1]сравнительная таблица'!B88</f>
        <v>2.1.2.14.2</v>
      </c>
      <c r="B86" s="353" t="str">
        <f>'[1]сравнительная таблица'!C88</f>
        <v>определение двуокиси серы (сернистый ангидрид) (СФМ, ФЭК)</v>
      </c>
      <c r="C86" s="342" t="str">
        <f>'[1]сравнительная таблица'!D88</f>
        <v>исследов.</v>
      </c>
      <c r="D86" s="365">
        <f>3.47*1.06</f>
        <v>3.6782000000000004</v>
      </c>
      <c r="E86" s="366"/>
      <c r="F86" s="367">
        <f>2.17*1.06</f>
        <v>2.3002000000000002</v>
      </c>
      <c r="G86" s="368"/>
    </row>
    <row r="87" spans="1:7" ht="14.25" customHeight="1">
      <c r="A87" s="342" t="str">
        <f>'[1]сравнительная таблица'!B89</f>
        <v>2.1.2.23.1</v>
      </c>
      <c r="B87" s="353" t="str">
        <f>'[1]сравнительная таблица'!C89</f>
        <v>определение диоксида азота (СФМ, ФЭК)</v>
      </c>
      <c r="C87" s="342" t="str">
        <f>'[1]сравнительная таблица'!D89</f>
        <v>исследов.</v>
      </c>
      <c r="D87" s="365">
        <f>6.53*1.06</f>
        <v>6.9218</v>
      </c>
      <c r="E87" s="366"/>
      <c r="F87" s="367">
        <f>1.81*1.06</f>
        <v>1.9186</v>
      </c>
      <c r="G87" s="368"/>
    </row>
    <row r="88" spans="1:7" ht="15" customHeight="1">
      <c r="A88" s="342" t="str">
        <f>'[1]сравнительная таблица'!B90</f>
        <v>2.1.2.25.1</v>
      </c>
      <c r="B88" s="353" t="str">
        <f>'[1]сравнительная таблица'!C90</f>
        <v>определение аммиака (СФМ, ФЭК)</v>
      </c>
      <c r="C88" s="342" t="str">
        <f>'[1]сравнительная таблица'!D90</f>
        <v>исследов.</v>
      </c>
      <c r="D88" s="365">
        <f>3.01*1.06</f>
        <v>3.1906</v>
      </c>
      <c r="E88" s="366"/>
      <c r="F88" s="367">
        <f>1.86*1.06</f>
        <v>1.9716000000000002</v>
      </c>
      <c r="G88" s="368"/>
    </row>
    <row r="89" spans="1:7" ht="15" customHeight="1">
      <c r="A89" s="342" t="str">
        <f>'[1]сравнительная таблица'!B91</f>
        <v>2.1.2.54.2</v>
      </c>
      <c r="B89" s="353" t="str">
        <f>'[1]сравнительная таблица'!C91</f>
        <v>определение марганца (СФМ, ФЭК)</v>
      </c>
      <c r="C89" s="342" t="str">
        <f>'[1]сравнительная таблица'!D91</f>
        <v>исследов.</v>
      </c>
      <c r="D89" s="365">
        <f>3.01*1.06</f>
        <v>3.1906</v>
      </c>
      <c r="E89" s="366"/>
      <c r="F89" s="367">
        <f>1.26*1.06</f>
        <v>1.3356000000000001</v>
      </c>
      <c r="G89" s="368"/>
    </row>
    <row r="90" spans="1:7" ht="15" customHeight="1">
      <c r="A90" s="342" t="str">
        <f>'[1]сравнительная таблица'!B92</f>
        <v>2.1.2.56.1</v>
      </c>
      <c r="B90" s="353" t="str">
        <f>'[1]сравнительная таблица'!C92</f>
        <v>определение серной кислоты (СФМ, ФЭК)</v>
      </c>
      <c r="C90" s="342" t="str">
        <f>'[1]сравнительная таблица'!D92</f>
        <v>исследов.</v>
      </c>
      <c r="D90" s="365">
        <f>4.19*1.06</f>
        <v>4.441400000000001</v>
      </c>
      <c r="E90" s="366"/>
      <c r="F90" s="367">
        <f>2.27*1.06</f>
        <v>2.4062</v>
      </c>
      <c r="G90" s="368"/>
    </row>
    <row r="91" spans="1:7" ht="24.75" customHeight="1">
      <c r="A91" s="342" t="s">
        <v>896</v>
      </c>
      <c r="B91" s="353" t="s">
        <v>897</v>
      </c>
      <c r="C91" s="342" t="s">
        <v>54</v>
      </c>
      <c r="D91" s="365">
        <f>4.19*1.06</f>
        <v>4.441400000000001</v>
      </c>
      <c r="E91" s="366"/>
      <c r="F91" s="367">
        <f>2.27*1.06</f>
        <v>2.4062</v>
      </c>
      <c r="G91" s="368"/>
    </row>
    <row r="92" spans="1:7" ht="15" customHeight="1">
      <c r="A92" s="349" t="s">
        <v>247</v>
      </c>
      <c r="B92" s="350" t="s">
        <v>248</v>
      </c>
      <c r="C92" s="342"/>
      <c r="D92" s="365"/>
      <c r="E92" s="366"/>
      <c r="F92" s="367"/>
      <c r="G92" s="368"/>
    </row>
    <row r="93" spans="1:7" ht="38.25">
      <c r="A93" s="349" t="s">
        <v>249</v>
      </c>
      <c r="B93" s="350" t="s">
        <v>250</v>
      </c>
      <c r="C93" s="342"/>
      <c r="D93" s="365"/>
      <c r="E93" s="366"/>
      <c r="F93" s="367"/>
      <c r="G93" s="368"/>
    </row>
    <row r="94" spans="1:7" ht="12.75">
      <c r="A94" s="340" t="s">
        <v>251</v>
      </c>
      <c r="B94" s="341" t="s">
        <v>252</v>
      </c>
      <c r="C94" s="342" t="s">
        <v>54</v>
      </c>
      <c r="D94" s="365">
        <f>0.75*1.06</f>
        <v>0.795</v>
      </c>
      <c r="E94" s="366"/>
      <c r="F94" s="367">
        <f>0.4*1.06</f>
        <v>0.42400000000000004</v>
      </c>
      <c r="G94" s="368"/>
    </row>
    <row r="95" spans="1:7" ht="18" customHeight="1">
      <c r="A95" s="349" t="s">
        <v>253</v>
      </c>
      <c r="B95" s="350" t="s">
        <v>254</v>
      </c>
      <c r="C95" s="342"/>
      <c r="D95" s="365"/>
      <c r="E95" s="365"/>
      <c r="F95" s="367"/>
      <c r="G95" s="368"/>
    </row>
    <row r="96" spans="1:7" ht="38.25">
      <c r="A96" s="340" t="s">
        <v>257</v>
      </c>
      <c r="B96" s="341" t="s">
        <v>258</v>
      </c>
      <c r="C96" s="342" t="s">
        <v>54</v>
      </c>
      <c r="D96" s="365">
        <f>1.38*1.06</f>
        <v>1.4627999999999999</v>
      </c>
      <c r="E96" s="366"/>
      <c r="F96" s="367">
        <f>1.06*1.06</f>
        <v>1.1236000000000002</v>
      </c>
      <c r="G96" s="368"/>
    </row>
    <row r="97" spans="1:7" ht="12.75">
      <c r="A97" s="340" t="s">
        <v>259</v>
      </c>
      <c r="B97" s="341" t="s">
        <v>260</v>
      </c>
      <c r="C97" s="342" t="s">
        <v>54</v>
      </c>
      <c r="D97" s="365">
        <f>0.75*1.06</f>
        <v>0.795</v>
      </c>
      <c r="E97" s="366"/>
      <c r="F97" s="367">
        <f>0.4*1.06</f>
        <v>0.42400000000000004</v>
      </c>
      <c r="G97" s="368"/>
    </row>
    <row r="98" spans="1:7" ht="18.75" customHeight="1">
      <c r="A98" s="340" t="s">
        <v>261</v>
      </c>
      <c r="B98" s="341" t="s">
        <v>262</v>
      </c>
      <c r="C98" s="342" t="s">
        <v>54</v>
      </c>
      <c r="D98" s="365">
        <f>0.49*1.06</f>
        <v>0.5194</v>
      </c>
      <c r="E98" s="366"/>
      <c r="F98" s="367">
        <f>0.25*1.06</f>
        <v>0.265</v>
      </c>
      <c r="G98" s="368"/>
    </row>
    <row r="99" spans="1:7" ht="18.75" customHeight="1">
      <c r="A99" s="349" t="s">
        <v>263</v>
      </c>
      <c r="B99" s="350" t="s">
        <v>264</v>
      </c>
      <c r="C99" s="342"/>
      <c r="D99" s="365"/>
      <c r="E99" s="365"/>
      <c r="F99" s="367"/>
      <c r="G99" s="368"/>
    </row>
    <row r="100" spans="1:7" ht="12.75">
      <c r="A100" s="340" t="s">
        <v>265</v>
      </c>
      <c r="B100" s="341" t="s">
        <v>266</v>
      </c>
      <c r="C100" s="342" t="s">
        <v>54</v>
      </c>
      <c r="D100" s="365">
        <f>0.75*1.06</f>
        <v>0.795</v>
      </c>
      <c r="E100" s="366"/>
      <c r="F100" s="367">
        <f>0.4*1.06</f>
        <v>0.42400000000000004</v>
      </c>
      <c r="G100" s="368"/>
    </row>
    <row r="101" spans="1:7" ht="18.75" customHeight="1">
      <c r="A101" s="340" t="s">
        <v>267</v>
      </c>
      <c r="B101" s="341" t="s">
        <v>268</v>
      </c>
      <c r="C101" s="342" t="s">
        <v>54</v>
      </c>
      <c r="D101" s="365">
        <f>0.48*1.06</f>
        <v>0.5088</v>
      </c>
      <c r="E101" s="366"/>
      <c r="F101" s="367">
        <f>0.25*1.06</f>
        <v>0.265</v>
      </c>
      <c r="G101" s="368"/>
    </row>
    <row r="102" spans="1:7" ht="17.25" customHeight="1">
      <c r="A102" s="340" t="s">
        <v>271</v>
      </c>
      <c r="B102" s="341" t="s">
        <v>272</v>
      </c>
      <c r="C102" s="342" t="s">
        <v>54</v>
      </c>
      <c r="D102" s="365">
        <f>1.39*1.06</f>
        <v>1.4734</v>
      </c>
      <c r="E102" s="366"/>
      <c r="F102" s="367">
        <f>0.75*1.06</f>
        <v>0.795</v>
      </c>
      <c r="G102" s="368"/>
    </row>
    <row r="103" spans="1:7" ht="19.5" customHeight="1">
      <c r="A103" s="340" t="s">
        <v>273</v>
      </c>
      <c r="B103" s="341" t="s">
        <v>274</v>
      </c>
      <c r="C103" s="342" t="s">
        <v>54</v>
      </c>
      <c r="D103" s="365">
        <f>0.49*1.06</f>
        <v>0.5194</v>
      </c>
      <c r="E103" s="366"/>
      <c r="F103" s="367">
        <f>0.25*1.06</f>
        <v>0.265</v>
      </c>
      <c r="G103" s="368"/>
    </row>
    <row r="104" spans="1:7" ht="20.25" customHeight="1">
      <c r="A104" s="340" t="s">
        <v>275</v>
      </c>
      <c r="B104" s="341" t="s">
        <v>276</v>
      </c>
      <c r="C104" s="342" t="s">
        <v>54</v>
      </c>
      <c r="D104" s="365">
        <f>0.75*1.06</f>
        <v>0.795</v>
      </c>
      <c r="E104" s="366"/>
      <c r="F104" s="367">
        <f>0.4*1.06</f>
        <v>0.42400000000000004</v>
      </c>
      <c r="G104" s="368"/>
    </row>
    <row r="105" spans="1:7" ht="19.5" customHeight="1">
      <c r="A105" s="340" t="s">
        <v>277</v>
      </c>
      <c r="B105" s="341" t="s">
        <v>278</v>
      </c>
      <c r="C105" s="342" t="s">
        <v>54</v>
      </c>
      <c r="D105" s="365">
        <f>0.75*1.06</f>
        <v>0.795</v>
      </c>
      <c r="E105" s="366"/>
      <c r="F105" s="367">
        <f>0.4*1.06</f>
        <v>0.42400000000000004</v>
      </c>
      <c r="G105" s="368"/>
    </row>
    <row r="106" spans="1:7" ht="16.5" customHeight="1">
      <c r="A106" s="340" t="s">
        <v>279</v>
      </c>
      <c r="B106" s="341" t="s">
        <v>280</v>
      </c>
      <c r="C106" s="342" t="s">
        <v>54</v>
      </c>
      <c r="D106" s="365">
        <f>1.03*1.06</f>
        <v>1.0918</v>
      </c>
      <c r="E106" s="366"/>
      <c r="F106" s="367">
        <f>0.49*1.06</f>
        <v>0.5194</v>
      </c>
      <c r="G106" s="368"/>
    </row>
    <row r="107" spans="1:7" ht="16.5" customHeight="1">
      <c r="A107" s="349" t="s">
        <v>281</v>
      </c>
      <c r="B107" s="350" t="s">
        <v>282</v>
      </c>
      <c r="C107" s="342"/>
      <c r="D107" s="365"/>
      <c r="E107" s="365"/>
      <c r="F107" s="367"/>
      <c r="G107" s="368"/>
    </row>
    <row r="108" spans="1:7" ht="12.75">
      <c r="A108" s="340" t="s">
        <v>283</v>
      </c>
      <c r="B108" s="341" t="s">
        <v>284</v>
      </c>
      <c r="C108" s="342" t="s">
        <v>54</v>
      </c>
      <c r="D108" s="365">
        <f>0.75*1.06</f>
        <v>0.795</v>
      </c>
      <c r="E108" s="366"/>
      <c r="F108" s="367">
        <f>0.4*1.06</f>
        <v>0.42400000000000004</v>
      </c>
      <c r="G108" s="368"/>
    </row>
    <row r="109" spans="1:7" ht="16.5" customHeight="1">
      <c r="A109" s="349" t="s">
        <v>285</v>
      </c>
      <c r="B109" s="350" t="s">
        <v>286</v>
      </c>
      <c r="C109" s="342"/>
      <c r="D109" s="365"/>
      <c r="E109" s="365"/>
      <c r="F109" s="367"/>
      <c r="G109" s="368"/>
    </row>
    <row r="110" spans="1:7" ht="12.75">
      <c r="A110" s="340" t="s">
        <v>287</v>
      </c>
      <c r="B110" s="341" t="s">
        <v>288</v>
      </c>
      <c r="C110" s="342" t="s">
        <v>54</v>
      </c>
      <c r="D110" s="365">
        <f>1.14*1.06</f>
        <v>1.2084</v>
      </c>
      <c r="E110" s="366"/>
      <c r="F110" s="367">
        <f>0.6*1.06</f>
        <v>0.636</v>
      </c>
      <c r="G110" s="368"/>
    </row>
    <row r="111" spans="1:7" ht="12.75" customHeight="1">
      <c r="A111" s="349" t="s">
        <v>289</v>
      </c>
      <c r="B111" s="350" t="s">
        <v>290</v>
      </c>
      <c r="C111" s="342"/>
      <c r="D111" s="365"/>
      <c r="E111" s="365"/>
      <c r="F111" s="367"/>
      <c r="G111" s="368"/>
    </row>
    <row r="112" spans="1:7" ht="12.75">
      <c r="A112" s="340" t="s">
        <v>291</v>
      </c>
      <c r="B112" s="341" t="s">
        <v>292</v>
      </c>
      <c r="C112" s="342" t="s">
        <v>54</v>
      </c>
      <c r="D112" s="365">
        <f>0.75*1.06</f>
        <v>0.795</v>
      </c>
      <c r="E112" s="366"/>
      <c r="F112" s="367">
        <f>0.4*1.06</f>
        <v>0.42400000000000004</v>
      </c>
      <c r="G112" s="368"/>
    </row>
    <row r="113" spans="1:7" ht="14.25" customHeight="1">
      <c r="A113" s="349" t="s">
        <v>293</v>
      </c>
      <c r="B113" s="350" t="s">
        <v>294</v>
      </c>
      <c r="C113" s="342"/>
      <c r="D113" s="365"/>
      <c r="E113" s="365"/>
      <c r="F113" s="367"/>
      <c r="G113" s="368"/>
    </row>
    <row r="114" spans="1:7" ht="12.75">
      <c r="A114" s="340" t="s">
        <v>295</v>
      </c>
      <c r="B114" s="341" t="s">
        <v>296</v>
      </c>
      <c r="C114" s="342" t="s">
        <v>54</v>
      </c>
      <c r="D114" s="365">
        <f>0.96*1.06</f>
        <v>1.0176</v>
      </c>
      <c r="E114" s="366"/>
      <c r="F114" s="367">
        <f>0.47*1.06</f>
        <v>0.4982</v>
      </c>
      <c r="G114" s="368"/>
    </row>
    <row r="115" spans="1:7" ht="15" customHeight="1">
      <c r="A115" s="349" t="s">
        <v>297</v>
      </c>
      <c r="B115" s="350" t="s">
        <v>298</v>
      </c>
      <c r="C115" s="342"/>
      <c r="D115" s="365"/>
      <c r="E115" s="365"/>
      <c r="F115" s="367"/>
      <c r="G115" s="368"/>
    </row>
    <row r="116" spans="1:7" ht="12.75">
      <c r="A116" s="340" t="s">
        <v>899</v>
      </c>
      <c r="B116" s="341" t="s">
        <v>900</v>
      </c>
      <c r="C116" s="342" t="s">
        <v>54</v>
      </c>
      <c r="D116" s="365">
        <f>6.58*1.06</f>
        <v>6.9748</v>
      </c>
      <c r="E116" s="366"/>
      <c r="F116" s="367">
        <f>3.31*1.06</f>
        <v>3.5086000000000004</v>
      </c>
      <c r="G116" s="368"/>
    </row>
    <row r="117" spans="1:7" ht="15" customHeight="1">
      <c r="A117" s="349" t="s">
        <v>902</v>
      </c>
      <c r="B117" s="350" t="s">
        <v>903</v>
      </c>
      <c r="C117" s="342"/>
      <c r="D117" s="365"/>
      <c r="E117" s="365"/>
      <c r="F117" s="367"/>
      <c r="G117" s="368"/>
    </row>
    <row r="118" spans="1:7" ht="12.75">
      <c r="A118" s="340" t="s">
        <v>1153</v>
      </c>
      <c r="B118" s="341" t="str">
        <f>'[1]сравнительная таблица'!C120</f>
        <v>определение цинка:</v>
      </c>
      <c r="C118" s="342" t="s">
        <v>54</v>
      </c>
      <c r="D118" s="365">
        <f>1.39*1.06</f>
        <v>1.4734</v>
      </c>
      <c r="E118" s="366"/>
      <c r="F118" s="367">
        <f>0.71*1.06</f>
        <v>0.7526</v>
      </c>
      <c r="G118" s="368"/>
    </row>
    <row r="119" spans="1:7" ht="14.25" customHeight="1">
      <c r="A119" s="340" t="s">
        <v>820</v>
      </c>
      <c r="B119" s="412" t="s">
        <v>310</v>
      </c>
      <c r="C119" s="342" t="s">
        <v>54</v>
      </c>
      <c r="D119" s="365">
        <f>1.14*1.06</f>
        <v>1.2084</v>
      </c>
      <c r="E119" s="366"/>
      <c r="F119" s="367">
        <f>0.6*1.06</f>
        <v>0.636</v>
      </c>
      <c r="G119" s="368"/>
    </row>
    <row r="120" spans="1:7" ht="15.75" customHeight="1">
      <c r="A120" s="340" t="s">
        <v>907</v>
      </c>
      <c r="B120" s="412" t="s">
        <v>908</v>
      </c>
      <c r="C120" s="342" t="s">
        <v>54</v>
      </c>
      <c r="D120" s="365">
        <f>1.79*1.06</f>
        <v>1.8974000000000002</v>
      </c>
      <c r="E120" s="366"/>
      <c r="F120" s="367">
        <f>0.89*1.06</f>
        <v>0.9434</v>
      </c>
      <c r="G120" s="368"/>
    </row>
    <row r="121" spans="1:7" ht="15.75" customHeight="1">
      <c r="A121" s="413" t="s">
        <v>910</v>
      </c>
      <c r="B121" s="414" t="s">
        <v>911</v>
      </c>
      <c r="C121" s="342"/>
      <c r="D121" s="365"/>
      <c r="E121" s="366"/>
      <c r="F121" s="367"/>
      <c r="G121" s="368"/>
    </row>
    <row r="122" spans="1:7" ht="15.75" customHeight="1">
      <c r="A122" s="413" t="s">
        <v>912</v>
      </c>
      <c r="B122" s="404" t="s">
        <v>1158</v>
      </c>
      <c r="C122" s="342" t="s">
        <v>54</v>
      </c>
      <c r="D122" s="365">
        <f>9.3*1.06</f>
        <v>9.858</v>
      </c>
      <c r="E122" s="366"/>
      <c r="F122" s="367">
        <f>8.15*1.06</f>
        <v>8.639000000000001</v>
      </c>
      <c r="G122" s="368"/>
    </row>
    <row r="123" spans="1:7" ht="12.75">
      <c r="A123" s="349" t="s">
        <v>305</v>
      </c>
      <c r="B123" s="350" t="s">
        <v>306</v>
      </c>
      <c r="C123" s="342"/>
      <c r="D123" s="365"/>
      <c r="E123" s="365"/>
      <c r="F123" s="367"/>
      <c r="G123" s="368"/>
    </row>
    <row r="124" spans="1:7" ht="15.75" customHeight="1">
      <c r="A124" s="340" t="s">
        <v>307</v>
      </c>
      <c r="B124" s="341" t="s">
        <v>308</v>
      </c>
      <c r="C124" s="342" t="s">
        <v>54</v>
      </c>
      <c r="D124" s="365">
        <f>1.34*1.06</f>
        <v>1.4204</v>
      </c>
      <c r="E124" s="366"/>
      <c r="F124" s="367">
        <f>0.67*1.06</f>
        <v>0.7102</v>
      </c>
      <c r="G124" s="368"/>
    </row>
    <row r="125" spans="1:7" ht="16.5" customHeight="1">
      <c r="A125" s="340" t="s">
        <v>309</v>
      </c>
      <c r="B125" s="341" t="s">
        <v>310</v>
      </c>
      <c r="C125" s="342" t="s">
        <v>54</v>
      </c>
      <c r="D125" s="365">
        <f>1.14*1.06</f>
        <v>1.2084</v>
      </c>
      <c r="E125" s="366"/>
      <c r="F125" s="367">
        <f>0.6*1.06</f>
        <v>0.636</v>
      </c>
      <c r="G125" s="368"/>
    </row>
    <row r="126" spans="1:7" ht="16.5" customHeight="1">
      <c r="A126" s="349" t="str">
        <f>'[1]сравнительная таблица'!B128</f>
        <v>2.2.2.3.</v>
      </c>
      <c r="B126" s="350" t="s">
        <v>312</v>
      </c>
      <c r="C126" s="342"/>
      <c r="D126" s="365"/>
      <c r="E126" s="366"/>
      <c r="F126" s="367"/>
      <c r="G126" s="368"/>
    </row>
    <row r="127" spans="1:7" s="361" customFormat="1" ht="16.5" customHeight="1">
      <c r="A127" s="340" t="str">
        <f>'[1]сравнительная таблица'!B129</f>
        <v>2.2.2.3.1.</v>
      </c>
      <c r="B127" s="341" t="str">
        <f>'[1]сравнительная таблица'!C129</f>
        <v>определение растворенного кислорода (титриметрический метод)</v>
      </c>
      <c r="C127" s="342" t="s">
        <v>54</v>
      </c>
      <c r="D127" s="365">
        <f>0.75*1.06</f>
        <v>0.795</v>
      </c>
      <c r="E127" s="366"/>
      <c r="F127" s="367">
        <f>0.4*1.06</f>
        <v>0.42400000000000004</v>
      </c>
      <c r="G127" s="368"/>
    </row>
    <row r="128" spans="1:7" ht="16.5" customHeight="1">
      <c r="A128" s="349" t="str">
        <f>'[1]сравнительная таблица'!B130</f>
        <v>2.2.2.4.</v>
      </c>
      <c r="B128" s="350" t="str">
        <f>'[1]сравнительная таблица'!C130</f>
        <v>определение биологического потребления кислорода (далее - БПК):</v>
      </c>
      <c r="C128" s="342" t="s">
        <v>54</v>
      </c>
      <c r="D128" s="365"/>
      <c r="E128" s="366"/>
      <c r="F128" s="367"/>
      <c r="G128" s="368"/>
    </row>
    <row r="129" spans="1:7" ht="16.5" customHeight="1">
      <c r="A129" s="340" t="str">
        <f>'[1]сравнительная таблица'!B131</f>
        <v>2.2.2.4.1.</v>
      </c>
      <c r="B129" s="341" t="str">
        <f>'[1]сравнительная таблица'!C131</f>
        <v>определение БПК (титриметрический метод)</v>
      </c>
      <c r="C129" s="342" t="s">
        <v>54</v>
      </c>
      <c r="D129" s="365">
        <f>2.54*1.06</f>
        <v>2.6924</v>
      </c>
      <c r="E129" s="366"/>
      <c r="F129" s="367">
        <f>1.28*1.04</f>
        <v>1.3312000000000002</v>
      </c>
      <c r="G129" s="368"/>
    </row>
    <row r="130" spans="1:7" s="361" customFormat="1" ht="16.5" customHeight="1">
      <c r="A130" s="349" t="str">
        <f>'[1]сравнительная таблица'!B132</f>
        <v>2.2.2.34.</v>
      </c>
      <c r="B130" s="350" t="str">
        <f>'[1]сравнительная таблица'!C132</f>
        <v>определение аммиака и ионов аммония</v>
      </c>
      <c r="C130" s="342" t="s">
        <v>54</v>
      </c>
      <c r="D130" s="365">
        <f>1.14*1.06</f>
        <v>1.2084</v>
      </c>
      <c r="E130" s="366"/>
      <c r="F130" s="367">
        <f>0.6*1.06</f>
        <v>0.636</v>
      </c>
      <c r="G130" s="368"/>
    </row>
    <row r="131" spans="1:7" ht="16.5" customHeight="1">
      <c r="A131" s="340" t="str">
        <f>'[1]сравнительная таблица'!B133</f>
        <v>2.2.2.36.</v>
      </c>
      <c r="B131" s="341" t="str">
        <f>'[1]сравнительная таблица'!C133</f>
        <v>определение хлоридов</v>
      </c>
      <c r="C131" s="342" t="s">
        <v>54</v>
      </c>
      <c r="D131" s="365">
        <f>1.03*1.06</f>
        <v>1.0918</v>
      </c>
      <c r="E131" s="366"/>
      <c r="F131" s="367">
        <f>0.49*1.06</f>
        <v>0.5194</v>
      </c>
      <c r="G131" s="368"/>
    </row>
    <row r="132" spans="1:7" ht="17.25" customHeight="1">
      <c r="A132" s="340" t="s">
        <v>325</v>
      </c>
      <c r="B132" s="341" t="s">
        <v>326</v>
      </c>
      <c r="C132" s="342" t="s">
        <v>54</v>
      </c>
      <c r="D132" s="365">
        <f>1.32*1.06</f>
        <v>1.3992000000000002</v>
      </c>
      <c r="E132" s="366"/>
      <c r="F132" s="367">
        <f>1.06*1.06</f>
        <v>1.1236000000000002</v>
      </c>
      <c r="G132" s="368"/>
    </row>
    <row r="133" spans="1:7" ht="12.75">
      <c r="A133" s="349" t="s">
        <v>327</v>
      </c>
      <c r="B133" s="350" t="s">
        <v>286</v>
      </c>
      <c r="C133" s="342"/>
      <c r="D133" s="365"/>
      <c r="E133" s="365"/>
      <c r="F133" s="367"/>
      <c r="G133" s="368"/>
    </row>
    <row r="134" spans="1:7" s="361" customFormat="1" ht="12.75" customHeight="1">
      <c r="A134" s="340" t="s">
        <v>328</v>
      </c>
      <c r="B134" s="341" t="s">
        <v>288</v>
      </c>
      <c r="C134" s="342" t="s">
        <v>54</v>
      </c>
      <c r="D134" s="365">
        <f>1.98*1.06</f>
        <v>2.0988</v>
      </c>
      <c r="E134" s="366"/>
      <c r="F134" s="367">
        <f>1.56*1.06</f>
        <v>1.6536000000000002</v>
      </c>
      <c r="G134" s="368"/>
    </row>
    <row r="135" spans="1:7" ht="12.75">
      <c r="A135" s="349" t="s">
        <v>329</v>
      </c>
      <c r="B135" s="350" t="s">
        <v>330</v>
      </c>
      <c r="C135" s="342"/>
      <c r="D135" s="365"/>
      <c r="E135" s="365"/>
      <c r="F135" s="367"/>
      <c r="G135" s="368"/>
    </row>
    <row r="136" spans="1:7" ht="15" customHeight="1">
      <c r="A136" s="340" t="s">
        <v>331</v>
      </c>
      <c r="B136" s="341" t="s">
        <v>332</v>
      </c>
      <c r="C136" s="342" t="s">
        <v>54</v>
      </c>
      <c r="D136" s="365">
        <f>1.38*1.06</f>
        <v>1.4627999999999999</v>
      </c>
      <c r="E136" s="366"/>
      <c r="F136" s="367">
        <f>1.06*1.06</f>
        <v>1.1236000000000002</v>
      </c>
      <c r="G136" s="368"/>
    </row>
    <row r="137" spans="1:7" ht="18" customHeight="1">
      <c r="A137" s="340" t="s">
        <v>333</v>
      </c>
      <c r="B137" s="341" t="s">
        <v>260</v>
      </c>
      <c r="C137" s="342" t="s">
        <v>54</v>
      </c>
      <c r="D137" s="365">
        <f>0.75*1.06</f>
        <v>0.795</v>
      </c>
      <c r="E137" s="366"/>
      <c r="F137" s="367">
        <f>0.39*1.06</f>
        <v>0.41340000000000005</v>
      </c>
      <c r="G137" s="368"/>
    </row>
    <row r="138" spans="1:7" ht="16.5" customHeight="1">
      <c r="A138" s="340" t="s">
        <v>334</v>
      </c>
      <c r="B138" s="341" t="s">
        <v>335</v>
      </c>
      <c r="C138" s="342" t="s">
        <v>54</v>
      </c>
      <c r="D138" s="365">
        <f>0.75*1.06</f>
        <v>0.795</v>
      </c>
      <c r="E138" s="366"/>
      <c r="F138" s="367">
        <f>0.4*1.06</f>
        <v>0.42400000000000004</v>
      </c>
      <c r="G138" s="368"/>
    </row>
    <row r="139" spans="1:7" ht="16.5" customHeight="1">
      <c r="A139" s="340" t="s">
        <v>336</v>
      </c>
      <c r="B139" s="341" t="s">
        <v>268</v>
      </c>
      <c r="C139" s="342" t="s">
        <v>54</v>
      </c>
      <c r="D139" s="365">
        <f>0.49*1.06</f>
        <v>0.5194</v>
      </c>
      <c r="E139" s="366"/>
      <c r="F139" s="367">
        <f>0.25*1.06</f>
        <v>0.265</v>
      </c>
      <c r="G139" s="368"/>
    </row>
    <row r="140" spans="1:7" ht="15" customHeight="1">
      <c r="A140" s="340" t="s">
        <v>337</v>
      </c>
      <c r="B140" s="341" t="s">
        <v>338</v>
      </c>
      <c r="C140" s="342" t="s">
        <v>54</v>
      </c>
      <c r="D140" s="365">
        <f>0.75*1.06</f>
        <v>0.795</v>
      </c>
      <c r="E140" s="366"/>
      <c r="F140" s="367">
        <f>0.4*1.06</f>
        <v>0.42400000000000004</v>
      </c>
      <c r="G140" s="368"/>
    </row>
    <row r="141" spans="1:7" ht="19.5" customHeight="1">
      <c r="A141" s="340" t="s">
        <v>339</v>
      </c>
      <c r="B141" s="341" t="s">
        <v>340</v>
      </c>
      <c r="C141" s="342" t="s">
        <v>54</v>
      </c>
      <c r="D141" s="365">
        <f>0.75*1.06</f>
        <v>0.795</v>
      </c>
      <c r="E141" s="366"/>
      <c r="F141" s="367">
        <f>0.4*1.06</f>
        <v>0.42400000000000004</v>
      </c>
      <c r="G141" s="368"/>
    </row>
    <row r="142" spans="1:7" ht="13.5" customHeight="1">
      <c r="A142" s="349" t="s">
        <v>342</v>
      </c>
      <c r="B142" s="350" t="s">
        <v>343</v>
      </c>
      <c r="C142" s="342"/>
      <c r="D142" s="365"/>
      <c r="E142" s="365"/>
      <c r="F142" s="367"/>
      <c r="G142" s="368"/>
    </row>
    <row r="143" spans="1:7" ht="13.5" customHeight="1">
      <c r="A143" s="340" t="s">
        <v>346</v>
      </c>
      <c r="B143" s="341" t="s">
        <v>347</v>
      </c>
      <c r="C143" s="342" t="s">
        <v>54</v>
      </c>
      <c r="D143" s="365">
        <f>2.57*1.06</f>
        <v>2.7242</v>
      </c>
      <c r="E143" s="366"/>
      <c r="F143" s="367">
        <f>1.28*1.06</f>
        <v>1.3568</v>
      </c>
      <c r="G143" s="368"/>
    </row>
    <row r="144" spans="1:7" ht="14.25" customHeight="1">
      <c r="A144" s="340" t="s">
        <v>348</v>
      </c>
      <c r="B144" s="341" t="s">
        <v>349</v>
      </c>
      <c r="C144" s="342" t="s">
        <v>54</v>
      </c>
      <c r="D144" s="365">
        <f>3.43*1.06</f>
        <v>3.6358</v>
      </c>
      <c r="E144" s="366"/>
      <c r="F144" s="367">
        <f>0.68*1.06</f>
        <v>0.7208000000000001</v>
      </c>
      <c r="G144" s="368"/>
    </row>
    <row r="145" spans="1:7" ht="14.25" customHeight="1">
      <c r="A145" s="340"/>
      <c r="B145" s="341"/>
      <c r="C145" s="342"/>
      <c r="D145" s="365"/>
      <c r="E145" s="366"/>
      <c r="F145" s="367"/>
      <c r="G145" s="368"/>
    </row>
    <row r="146" spans="1:7" ht="34.5" customHeight="1">
      <c r="A146" s="415" t="s">
        <v>352</v>
      </c>
      <c r="B146" s="416" t="s">
        <v>353</v>
      </c>
      <c r="C146" s="342"/>
      <c r="D146" s="365"/>
      <c r="E146" s="365"/>
      <c r="F146" s="367"/>
      <c r="G146" s="368"/>
    </row>
    <row r="147" spans="1:7" ht="16.5" customHeight="1">
      <c r="A147" s="417"/>
      <c r="B147" s="416"/>
      <c r="C147" s="342"/>
      <c r="D147" s="365"/>
      <c r="E147" s="365"/>
      <c r="F147" s="367"/>
      <c r="G147" s="368"/>
    </row>
    <row r="148" spans="1:7" ht="12.75">
      <c r="A148" s="349" t="s">
        <v>354</v>
      </c>
      <c r="B148" s="350" t="s">
        <v>355</v>
      </c>
      <c r="C148" s="342"/>
      <c r="D148" s="365"/>
      <c r="E148" s="365"/>
      <c r="F148" s="367"/>
      <c r="G148" s="368"/>
    </row>
    <row r="149" spans="1:7" ht="12.75">
      <c r="A149" s="349" t="s">
        <v>0</v>
      </c>
      <c r="B149" s="350" t="s">
        <v>356</v>
      </c>
      <c r="C149" s="342"/>
      <c r="D149" s="365"/>
      <c r="E149" s="365"/>
      <c r="F149" s="367"/>
      <c r="G149" s="368"/>
    </row>
    <row r="150" spans="1:7" ht="12.75">
      <c r="A150" s="349" t="s">
        <v>357</v>
      </c>
      <c r="B150" s="350" t="s">
        <v>358</v>
      </c>
      <c r="C150" s="342"/>
      <c r="D150" s="365"/>
      <c r="E150" s="365"/>
      <c r="F150" s="367"/>
      <c r="G150" s="368"/>
    </row>
    <row r="151" spans="1:7" ht="14.25" customHeight="1">
      <c r="A151" s="340" t="s">
        <v>359</v>
      </c>
      <c r="B151" s="341" t="s">
        <v>360</v>
      </c>
      <c r="C151" s="342" t="s">
        <v>54</v>
      </c>
      <c r="D151" s="365">
        <f>1.4*1.06</f>
        <v>1.484</v>
      </c>
      <c r="E151" s="366"/>
      <c r="F151" s="367">
        <f>0.82*1.06</f>
        <v>0.8692</v>
      </c>
      <c r="G151" s="368"/>
    </row>
    <row r="152" spans="1:7" ht="14.25" customHeight="1">
      <c r="A152" s="349" t="str">
        <f>'[1]сравнительная таблица'!B160</f>
        <v>3.1.1.12.4.</v>
      </c>
      <c r="B152" s="329" t="str">
        <f>'[1]сравнительная таблица'!C160</f>
        <v>определение жира методом Гербера (кислотный метод)</v>
      </c>
      <c r="C152" s="342"/>
      <c r="D152" s="365"/>
      <c r="E152" s="366"/>
      <c r="F152" s="367"/>
      <c r="G152" s="368"/>
    </row>
    <row r="153" spans="1:7" ht="16.5" customHeight="1">
      <c r="A153" s="340" t="str">
        <f>'[1]сравнительная таблица'!B161</f>
        <v>3.1.1.14.</v>
      </c>
      <c r="B153" s="405" t="str">
        <f>'[1]сравнительная таблица'!C161</f>
        <v>определение щелочности</v>
      </c>
      <c r="C153" s="342" t="s">
        <v>54</v>
      </c>
      <c r="D153" s="365">
        <f>0.7*1.06</f>
        <v>0.742</v>
      </c>
      <c r="E153" s="366"/>
      <c r="F153" s="367">
        <f>0.5*1.06</f>
        <v>0.53</v>
      </c>
      <c r="G153" s="368"/>
    </row>
    <row r="154" spans="1:7" ht="16.5" customHeight="1">
      <c r="A154" s="349" t="str">
        <f>'[1]сравнительная таблица'!B162</f>
        <v>3.1.1.14.1</v>
      </c>
      <c r="B154" s="373" t="str">
        <f>'[1]сравнительная таблица'!C162</f>
        <v>определение щелочности в мучных кондитерских изделиях</v>
      </c>
      <c r="C154" s="342"/>
      <c r="D154" s="365"/>
      <c r="E154" s="366"/>
      <c r="F154" s="367"/>
      <c r="G154" s="368"/>
    </row>
    <row r="155" spans="1:7" ht="30" customHeight="1">
      <c r="A155" s="340" t="s">
        <v>1154</v>
      </c>
      <c r="B155" s="405" t="str">
        <f>'[1]сравнительная таблица'!C163</f>
        <v>определение редуцирующих веществ:</v>
      </c>
      <c r="C155" s="342" t="s">
        <v>54</v>
      </c>
      <c r="D155" s="365">
        <f>3.77*1.06</f>
        <v>3.9962000000000004</v>
      </c>
      <c r="E155" s="366"/>
      <c r="F155" s="367">
        <f>3*1.06</f>
        <v>3.18</v>
      </c>
      <c r="G155" s="368"/>
    </row>
    <row r="156" spans="1:7" ht="12.75">
      <c r="A156" s="349" t="s">
        <v>363</v>
      </c>
      <c r="B156" s="350" t="s">
        <v>364</v>
      </c>
      <c r="C156" s="342"/>
      <c r="D156" s="365"/>
      <c r="E156" s="365"/>
      <c r="F156" s="367"/>
      <c r="G156" s="368"/>
    </row>
    <row r="157" spans="1:7" ht="25.5" customHeight="1">
      <c r="A157" s="340" t="s">
        <v>365</v>
      </c>
      <c r="B157" s="341" t="s">
        <v>366</v>
      </c>
      <c r="C157" s="342" t="s">
        <v>54</v>
      </c>
      <c r="D157" s="365">
        <f>10.55*1.06</f>
        <v>11.183000000000002</v>
      </c>
      <c r="E157" s="366"/>
      <c r="F157" s="367">
        <f>5.26*1.06</f>
        <v>5.5756</v>
      </c>
      <c r="G157" s="368"/>
    </row>
    <row r="158" spans="1:7" ht="25.5">
      <c r="A158" s="340" t="s">
        <v>367</v>
      </c>
      <c r="B158" s="341" t="s">
        <v>368</v>
      </c>
      <c r="C158" s="342" t="s">
        <v>54</v>
      </c>
      <c r="D158" s="365">
        <f>3.96*1.06</f>
        <v>4.1976</v>
      </c>
      <c r="E158" s="366"/>
      <c r="F158" s="367">
        <f>2.04*1.06</f>
        <v>2.1624000000000003</v>
      </c>
      <c r="G158" s="368"/>
    </row>
    <row r="159" spans="1:7" ht="15" customHeight="1">
      <c r="A159" s="340" t="s">
        <v>369</v>
      </c>
      <c r="B159" s="341" t="s">
        <v>370</v>
      </c>
      <c r="C159" s="342" t="s">
        <v>54</v>
      </c>
      <c r="D159" s="365">
        <f>11.76*1.06</f>
        <v>12.4656</v>
      </c>
      <c r="E159" s="366"/>
      <c r="F159" s="367">
        <f>8.56*1.06</f>
        <v>9.0736</v>
      </c>
      <c r="G159" s="368"/>
    </row>
    <row r="160" spans="1:7" ht="15" customHeight="1">
      <c r="A160" s="349" t="str">
        <f>'[1]сравнительная таблица'!B169</f>
        <v>3.1.1.22.</v>
      </c>
      <c r="B160" s="350" t="str">
        <f>'[1]сравнительная таблица'!C169</f>
        <v>определение воды в меде</v>
      </c>
      <c r="C160" s="342" t="s">
        <v>54</v>
      </c>
      <c r="D160" s="365">
        <f>0.43*1.06</f>
        <v>0.45580000000000004</v>
      </c>
      <c r="E160" s="366"/>
      <c r="F160" s="367">
        <f>0.26*1.06</f>
        <v>0.2756</v>
      </c>
      <c r="G160" s="368"/>
    </row>
    <row r="161" spans="1:7" ht="15" customHeight="1">
      <c r="A161" s="340" t="str">
        <f>'[1]сравнительная таблица'!B170</f>
        <v>3.1.1.23.</v>
      </c>
      <c r="B161" s="341" t="str">
        <f>'[1]сравнительная таблица'!C170</f>
        <v>определение оксиметилфурфурола</v>
      </c>
      <c r="C161" s="342"/>
      <c r="D161" s="365"/>
      <c r="E161" s="366"/>
      <c r="F161" s="367"/>
      <c r="G161" s="368"/>
    </row>
    <row r="162" spans="1:7" ht="15" customHeight="1">
      <c r="A162" s="340" t="str">
        <f>'[1]сравнительная таблица'!B171</f>
        <v>3.1.1.23.1.</v>
      </c>
      <c r="B162" s="341" t="str">
        <f>'[1]сравнительная таблица'!C171</f>
        <v>определение оксиметилфурфурола в меде (качественная реакция)</v>
      </c>
      <c r="C162" s="342" t="s">
        <v>54</v>
      </c>
      <c r="D162" s="365">
        <f>0.43*1.06</f>
        <v>0.45580000000000004</v>
      </c>
      <c r="E162" s="366"/>
      <c r="F162" s="367">
        <f>0.26*1.06</f>
        <v>0.2756</v>
      </c>
      <c r="G162" s="368"/>
    </row>
    <row r="163" spans="1:7" ht="15" customHeight="1">
      <c r="A163" s="340" t="s">
        <v>1157</v>
      </c>
      <c r="B163" s="341" t="s">
        <v>957</v>
      </c>
      <c r="C163" s="342" t="s">
        <v>54</v>
      </c>
      <c r="D163" s="365">
        <f>2.12*1.06</f>
        <v>2.2472000000000003</v>
      </c>
      <c r="E163" s="366"/>
      <c r="F163" s="367">
        <f>1.3*1.06</f>
        <v>1.3780000000000001</v>
      </c>
      <c r="G163" s="368"/>
    </row>
    <row r="164" spans="1:7" ht="12.75">
      <c r="A164" s="349" t="s">
        <v>371</v>
      </c>
      <c r="B164" s="350" t="s">
        <v>372</v>
      </c>
      <c r="C164" s="342"/>
      <c r="D164" s="365"/>
      <c r="E164" s="365"/>
      <c r="F164" s="367"/>
      <c r="G164" s="368"/>
    </row>
    <row r="165" spans="1:7" ht="16.5" customHeight="1">
      <c r="A165" s="340" t="s">
        <v>373</v>
      </c>
      <c r="B165" s="341" t="s">
        <v>374</v>
      </c>
      <c r="C165" s="342" t="s">
        <v>54</v>
      </c>
      <c r="D165" s="365">
        <f>1.98*1.06</f>
        <v>2.0988</v>
      </c>
      <c r="E165" s="366"/>
      <c r="F165" s="367">
        <f>1.56*1.06</f>
        <v>1.6536000000000002</v>
      </c>
      <c r="G165" s="368"/>
    </row>
    <row r="166" spans="1:7" ht="12.75">
      <c r="A166" s="349" t="s">
        <v>377</v>
      </c>
      <c r="B166" s="350" t="s">
        <v>319</v>
      </c>
      <c r="C166" s="342"/>
      <c r="D166" s="365"/>
      <c r="E166" s="365"/>
      <c r="F166" s="367"/>
      <c r="G166" s="368"/>
    </row>
    <row r="167" spans="1:7" ht="25.5">
      <c r="A167" s="340" t="s">
        <v>378</v>
      </c>
      <c r="B167" s="341" t="s">
        <v>379</v>
      </c>
      <c r="C167" s="342" t="s">
        <v>54</v>
      </c>
      <c r="D167" s="365">
        <f>3.82*1.06</f>
        <v>4.0492</v>
      </c>
      <c r="E167" s="366"/>
      <c r="F167" s="367">
        <f>3*1.06</f>
        <v>3.18</v>
      </c>
      <c r="G167" s="368"/>
    </row>
    <row r="168" spans="1:7" ht="16.5" customHeight="1">
      <c r="A168" s="340" t="s">
        <v>382</v>
      </c>
      <c r="B168" s="341" t="s">
        <v>383</v>
      </c>
      <c r="C168" s="342" t="s">
        <v>54</v>
      </c>
      <c r="D168" s="365">
        <f>0.59*1.06</f>
        <v>0.6254</v>
      </c>
      <c r="E168" s="366"/>
      <c r="F168" s="367">
        <f>0.41*1.06</f>
        <v>0.4346</v>
      </c>
      <c r="G168" s="368"/>
    </row>
    <row r="169" spans="1:7" ht="16.5" customHeight="1">
      <c r="A169" s="340" t="s">
        <v>1155</v>
      </c>
      <c r="B169" s="341" t="s">
        <v>1156</v>
      </c>
      <c r="C169" s="342" t="s">
        <v>54</v>
      </c>
      <c r="D169" s="365">
        <f>0.36*1.05</f>
        <v>0.378</v>
      </c>
      <c r="E169" s="366"/>
      <c r="F169" s="367">
        <f>0.36*1.06</f>
        <v>0.3816</v>
      </c>
      <c r="G169" s="368"/>
    </row>
    <row r="170" spans="1:7" ht="28.5" customHeight="1">
      <c r="A170" s="340" t="s">
        <v>394</v>
      </c>
      <c r="B170" s="341" t="s">
        <v>395</v>
      </c>
      <c r="C170" s="342" t="s">
        <v>54</v>
      </c>
      <c r="D170" s="365">
        <f>0.49*1.06</f>
        <v>0.5194</v>
      </c>
      <c r="E170" s="366"/>
      <c r="F170" s="367">
        <f>0.36*1.06</f>
        <v>0.3816</v>
      </c>
      <c r="G170" s="368"/>
    </row>
    <row r="171" spans="1:7" ht="12.75">
      <c r="A171" s="349" t="s">
        <v>396</v>
      </c>
      <c r="B171" s="350" t="s">
        <v>397</v>
      </c>
      <c r="C171" s="342"/>
      <c r="D171" s="365"/>
      <c r="E171" s="365"/>
      <c r="F171" s="367"/>
      <c r="G171" s="368"/>
    </row>
    <row r="172" spans="1:7" ht="16.5" customHeight="1">
      <c r="A172" s="340" t="s">
        <v>398</v>
      </c>
      <c r="B172" s="341" t="s">
        <v>399</v>
      </c>
      <c r="C172" s="342" t="s">
        <v>54</v>
      </c>
      <c r="D172" s="365">
        <f>2.23*1.06</f>
        <v>2.3638</v>
      </c>
      <c r="E172" s="366"/>
      <c r="F172" s="367">
        <f>1.4*1.06</f>
        <v>1.484</v>
      </c>
      <c r="G172" s="368"/>
    </row>
    <row r="173" spans="1:7" ht="16.5" customHeight="1">
      <c r="A173" s="340" t="s">
        <v>400</v>
      </c>
      <c r="B173" s="341" t="s">
        <v>401</v>
      </c>
      <c r="C173" s="342" t="s">
        <v>54</v>
      </c>
      <c r="D173" s="365">
        <f>1.4*1.06</f>
        <v>1.484</v>
      </c>
      <c r="E173" s="366"/>
      <c r="F173" s="367">
        <f>0.88*1.06</f>
        <v>0.9328000000000001</v>
      </c>
      <c r="G173" s="368"/>
    </row>
    <row r="174" spans="1:7" ht="12.75">
      <c r="A174" s="349" t="s">
        <v>402</v>
      </c>
      <c r="B174" s="350" t="s">
        <v>403</v>
      </c>
      <c r="C174" s="342"/>
      <c r="D174" s="365"/>
      <c r="E174" s="365"/>
      <c r="F174" s="367"/>
      <c r="G174" s="368"/>
    </row>
    <row r="175" spans="1:7" ht="25.5">
      <c r="A175" s="340" t="s">
        <v>404</v>
      </c>
      <c r="B175" s="341" t="s">
        <v>405</v>
      </c>
      <c r="C175" s="342" t="s">
        <v>54</v>
      </c>
      <c r="D175" s="365">
        <f>0.36*1.06</f>
        <v>0.3816</v>
      </c>
      <c r="E175" s="366"/>
      <c r="F175" s="367">
        <f>0.24*1.06</f>
        <v>0.2544</v>
      </c>
      <c r="G175" s="368"/>
    </row>
    <row r="176" spans="1:7" ht="25.5">
      <c r="A176" s="340" t="s">
        <v>406</v>
      </c>
      <c r="B176" s="341" t="s">
        <v>407</v>
      </c>
      <c r="C176" s="342" t="s">
        <v>54</v>
      </c>
      <c r="D176" s="365">
        <f>0.36*1.06</f>
        <v>0.3816</v>
      </c>
      <c r="E176" s="366"/>
      <c r="F176" s="367">
        <f>0.24*1.06</f>
        <v>0.2544</v>
      </c>
      <c r="G176" s="368"/>
    </row>
    <row r="177" spans="1:7" ht="25.5">
      <c r="A177" s="349" t="s">
        <v>408</v>
      </c>
      <c r="B177" s="350" t="s">
        <v>409</v>
      </c>
      <c r="C177" s="342"/>
      <c r="D177" s="365"/>
      <c r="E177" s="365"/>
      <c r="F177" s="367"/>
      <c r="G177" s="368"/>
    </row>
    <row r="178" spans="1:7" ht="15" customHeight="1">
      <c r="A178" s="340" t="s">
        <v>410</v>
      </c>
      <c r="B178" s="341" t="s">
        <v>411</v>
      </c>
      <c r="C178" s="342" t="s">
        <v>54</v>
      </c>
      <c r="D178" s="365">
        <f>0.47*1.06</f>
        <v>0.4982</v>
      </c>
      <c r="E178" s="366"/>
      <c r="F178" s="367">
        <f>0.36*1.06</f>
        <v>0.3816</v>
      </c>
      <c r="G178" s="368"/>
    </row>
    <row r="179" spans="1:7" ht="15" customHeight="1">
      <c r="A179" s="340" t="str">
        <f>'[1]сравнительная таблица'!B188</f>
        <v>3.1.1.96.</v>
      </c>
      <c r="B179" s="341" t="str">
        <f>'[1]сравнительная таблица'!C188</f>
        <v>определение показателя преломления</v>
      </c>
      <c r="C179" s="342" t="s">
        <v>54</v>
      </c>
      <c r="D179" s="365">
        <f>0.28*1.06</f>
        <v>0.29680000000000006</v>
      </c>
      <c r="E179" s="366"/>
      <c r="F179" s="367">
        <f>0.24*1.06</f>
        <v>0.2544</v>
      </c>
      <c r="G179" s="368"/>
    </row>
    <row r="180" spans="1:7" ht="15" customHeight="1">
      <c r="A180" s="340" t="s">
        <v>966</v>
      </c>
      <c r="B180" s="341" t="s">
        <v>967</v>
      </c>
      <c r="C180" s="342" t="s">
        <v>54</v>
      </c>
      <c r="D180" s="365">
        <f>0.29*1.06</f>
        <v>0.3074</v>
      </c>
      <c r="E180" s="366"/>
      <c r="F180" s="367">
        <f>0.24*1.06</f>
        <v>0.2544</v>
      </c>
      <c r="G180" s="368"/>
    </row>
    <row r="181" spans="1:7" ht="13.5" customHeight="1">
      <c r="A181" s="340" t="s">
        <v>423</v>
      </c>
      <c r="B181" s="341" t="s">
        <v>424</v>
      </c>
      <c r="C181" s="342" t="s">
        <v>54</v>
      </c>
      <c r="D181" s="365">
        <f>0.24*1.06</f>
        <v>0.2544</v>
      </c>
      <c r="E181" s="366"/>
      <c r="F181" s="367">
        <f>0.24*1.06</f>
        <v>0.2544</v>
      </c>
      <c r="G181" s="368"/>
    </row>
    <row r="182" spans="1:7" ht="15.75" customHeight="1">
      <c r="A182" s="349" t="s">
        <v>437</v>
      </c>
      <c r="B182" s="350" t="s">
        <v>438</v>
      </c>
      <c r="C182" s="342"/>
      <c r="D182" s="365"/>
      <c r="E182" s="365"/>
      <c r="F182" s="367"/>
      <c r="G182" s="368"/>
    </row>
    <row r="183" spans="1:7" ht="15" customHeight="1">
      <c r="A183" s="340" t="s">
        <v>439</v>
      </c>
      <c r="B183" s="341" t="s">
        <v>440</v>
      </c>
      <c r="C183" s="342" t="s">
        <v>54</v>
      </c>
      <c r="D183" s="365">
        <f>1.06*1.06</f>
        <v>1.1236000000000002</v>
      </c>
      <c r="E183" s="366"/>
      <c r="F183" s="367">
        <f>1.06*1.06</f>
        <v>1.1236000000000002</v>
      </c>
      <c r="G183" s="368"/>
    </row>
    <row r="184" spans="1:7" ht="38.25" customHeight="1">
      <c r="A184" s="349" t="str">
        <f>'[1]сравнительная таблица'!B193</f>
        <v>3.1.3.9.</v>
      </c>
      <c r="B184" s="350" t="str">
        <f>'[1]сравнительная таблица'!C193</f>
        <v>определение хлорорганических пестицидов</v>
      </c>
      <c r="C184" s="342"/>
      <c r="D184" s="365"/>
      <c r="E184" s="366"/>
      <c r="F184" s="367"/>
      <c r="G184" s="368"/>
    </row>
    <row r="185" spans="1:7" ht="30" customHeight="1">
      <c r="A185" s="340" t="str">
        <f>'[1]сравнительная таблица'!B194</f>
        <v>3.1.3.9.1</v>
      </c>
      <c r="B185" s="341" t="str">
        <f>'[1]сравнительная таблица'!C194</f>
        <v>определение хлорорганических пестицидов в муке, зернобобовых, хлебобулочных, крупе, мясо- и рыбопродуктах (ТСХ)</v>
      </c>
      <c r="C185" s="342" t="s">
        <v>54</v>
      </c>
      <c r="D185" s="365">
        <f>11.85*1.06</f>
        <v>12.561</v>
      </c>
      <c r="E185" s="366"/>
      <c r="F185" s="367">
        <f>9.49*1.06</f>
        <v>10.0594</v>
      </c>
      <c r="G185" s="368"/>
    </row>
    <row r="186" spans="1:7" ht="30" customHeight="1">
      <c r="A186" s="340" t="str">
        <f>'[1]сравнительная таблица'!B195</f>
        <v>3.1.3.9.2</v>
      </c>
      <c r="B186" s="341" t="str">
        <f>'[1]сравнительная таблица'!C195</f>
        <v>определение хлорорганических пестицидов в плодоовощной продукции (ТСХ)</v>
      </c>
      <c r="C186" s="342" t="s">
        <v>54</v>
      </c>
      <c r="D186" s="365">
        <f>11.85*1.06</f>
        <v>12.561</v>
      </c>
      <c r="E186" s="366"/>
      <c r="F186" s="367">
        <f>9.49*1.06</f>
        <v>10.0594</v>
      </c>
      <c r="G186" s="368"/>
    </row>
    <row r="187" spans="1:7" ht="30" customHeight="1">
      <c r="A187" s="340" t="str">
        <f>'[1]сравнительная таблица'!B196</f>
        <v>3.1.3.9.3</v>
      </c>
      <c r="B187" s="341" t="str">
        <f>'[1]сравнительная таблица'!C196</f>
        <v>определение хлорорганических пестицидов в молочной продукции (ТСХ)</v>
      </c>
      <c r="C187" s="342" t="s">
        <v>54</v>
      </c>
      <c r="D187" s="365">
        <f>11.85*1.06</f>
        <v>12.561</v>
      </c>
      <c r="E187" s="366"/>
      <c r="F187" s="367">
        <f>9.49*1.06</f>
        <v>10.0594</v>
      </c>
      <c r="G187" s="368"/>
    </row>
    <row r="188" spans="1:7" ht="16.5" customHeight="1">
      <c r="A188" s="340" t="str">
        <f>'[1]сравнительная таблица'!B197</f>
        <v>3.1.3.9.4</v>
      </c>
      <c r="B188" s="341" t="str">
        <f>'[1]сравнительная таблица'!C197</f>
        <v>определение хлорорганических пестицидов в кондитерских изделиях, меде (ТСХ)</v>
      </c>
      <c r="C188" s="342" t="s">
        <v>54</v>
      </c>
      <c r="D188" s="365">
        <f>11.85*1.06</f>
        <v>12.561</v>
      </c>
      <c r="E188" s="366"/>
      <c r="F188" s="367">
        <f>9.49*1.06</f>
        <v>10.0594</v>
      </c>
      <c r="G188" s="368"/>
    </row>
    <row r="189" spans="1:7" ht="16.5" customHeight="1">
      <c r="A189" s="340" t="str">
        <f>'[1]сравнительная таблица'!B198</f>
        <v>3.1.4.3.</v>
      </c>
      <c r="B189" s="341" t="str">
        <f>'[1]сравнительная таблица'!C198</f>
        <v>определение мышьяка (КФК)</v>
      </c>
      <c r="C189" s="342" t="s">
        <v>54</v>
      </c>
      <c r="D189" s="365">
        <f>2.59*1.06</f>
        <v>2.7454</v>
      </c>
      <c r="E189" s="366"/>
      <c r="F189" s="367">
        <f>0.26*1.06</f>
        <v>0.2756</v>
      </c>
      <c r="G189" s="368"/>
    </row>
    <row r="190" spans="1:7" ht="16.5" customHeight="1">
      <c r="A190" s="340" t="s">
        <v>986</v>
      </c>
      <c r="B190" s="341" t="s">
        <v>987</v>
      </c>
      <c r="C190" s="342" t="s">
        <v>54</v>
      </c>
      <c r="D190" s="365">
        <f>1.94*1.06</f>
        <v>2.0564</v>
      </c>
      <c r="E190" s="366"/>
      <c r="F190" s="367">
        <f>1.22*1.06</f>
        <v>1.2932000000000001</v>
      </c>
      <c r="G190" s="368"/>
    </row>
    <row r="191" spans="1:7" ht="12.75">
      <c r="A191" s="349" t="s">
        <v>55</v>
      </c>
      <c r="B191" s="350" t="s">
        <v>441</v>
      </c>
      <c r="C191" s="342"/>
      <c r="D191" s="365"/>
      <c r="E191" s="365"/>
      <c r="F191" s="367"/>
      <c r="G191" s="368"/>
    </row>
    <row r="192" spans="1:7" ht="17.25" customHeight="1">
      <c r="A192" s="340" t="s">
        <v>442</v>
      </c>
      <c r="B192" s="341" t="s">
        <v>443</v>
      </c>
      <c r="C192" s="342" t="s">
        <v>54</v>
      </c>
      <c r="D192" s="365">
        <f>1.18*1.06</f>
        <v>1.2508</v>
      </c>
      <c r="E192" s="366"/>
      <c r="F192" s="367">
        <f>'[1]сравнительная таблица'!N200</f>
        <v>0</v>
      </c>
      <c r="G192" s="368"/>
    </row>
    <row r="193" spans="1:7" ht="25.5">
      <c r="A193" s="340" t="s">
        <v>444</v>
      </c>
      <c r="B193" s="341" t="s">
        <v>445</v>
      </c>
      <c r="C193" s="342" t="s">
        <v>54</v>
      </c>
      <c r="D193" s="365">
        <f>2.27*1.06</f>
        <v>2.4062</v>
      </c>
      <c r="E193" s="366"/>
      <c r="F193" s="367">
        <f>1.18*1.06</f>
        <v>1.2508</v>
      </c>
      <c r="G193" s="368"/>
    </row>
    <row r="194" spans="1:7" ht="12.75">
      <c r="A194" s="340"/>
      <c r="B194" s="341"/>
      <c r="C194" s="342"/>
      <c r="D194" s="365"/>
      <c r="E194" s="366"/>
      <c r="F194" s="367"/>
      <c r="G194" s="368"/>
    </row>
    <row r="195" spans="1:7" ht="47.25">
      <c r="A195" s="409" t="s">
        <v>446</v>
      </c>
      <c r="B195" s="410" t="s">
        <v>447</v>
      </c>
      <c r="C195" s="342"/>
      <c r="D195" s="365"/>
      <c r="E195" s="365"/>
      <c r="F195" s="367"/>
      <c r="G195" s="368"/>
    </row>
    <row r="196" spans="1:7" ht="12.75">
      <c r="A196" s="342" t="s">
        <v>989</v>
      </c>
      <c r="B196" s="353" t="s">
        <v>1137</v>
      </c>
      <c r="C196" s="342" t="s">
        <v>54</v>
      </c>
      <c r="D196" s="365">
        <f>2.68*1.06</f>
        <v>2.8408</v>
      </c>
      <c r="E196" s="365">
        <f>'[1]сравнительная таблица'!N203</f>
        <v>0</v>
      </c>
      <c r="F196" s="365">
        <f>1.32*1.06</f>
        <v>1.3992000000000002</v>
      </c>
      <c r="G196" s="368"/>
    </row>
    <row r="197" spans="1:7" ht="15" customHeight="1">
      <c r="A197" s="342" t="str">
        <f>'[1]сравнительная таблица'!B205</f>
        <v>4.3.</v>
      </c>
      <c r="B197" s="353" t="str">
        <f>'[1]сравнительная таблица'!C205</f>
        <v>измерение напряженности электрической или магнитной составляющей электромагнитного поля промышленной частоты</v>
      </c>
      <c r="C197" s="342" t="s">
        <v>54</v>
      </c>
      <c r="D197" s="365">
        <f>11.47*1.06</f>
        <v>12.1582</v>
      </c>
      <c r="E197" s="365">
        <f>'[1]сравнительная таблица'!N205</f>
        <v>4.49</v>
      </c>
      <c r="F197" s="365">
        <f>5.72*1.06</f>
        <v>6.0632</v>
      </c>
      <c r="G197" s="368"/>
    </row>
    <row r="198" spans="1:7" ht="12.75">
      <c r="A198" s="342" t="str">
        <f>'[1]сравнительная таблица'!B206</f>
        <v>4.8.</v>
      </c>
      <c r="B198" s="353" t="str">
        <f>'[1]сравнительная таблица'!C206</f>
        <v>измерение ультрафиолетового спектра излучения</v>
      </c>
      <c r="C198" s="342" t="s">
        <v>54</v>
      </c>
      <c r="D198" s="365">
        <f>1.88*1.06</f>
        <v>1.9928</v>
      </c>
      <c r="E198" s="365">
        <f>'[1]сравнительная таблица'!N206</f>
        <v>2.1</v>
      </c>
      <c r="F198" s="365">
        <f>0.95*1.06</f>
        <v>1.007</v>
      </c>
      <c r="G198" s="368"/>
    </row>
    <row r="199" spans="1:7" ht="25.5">
      <c r="A199" s="342" t="str">
        <f>'[1]сравнительная таблица'!B207</f>
        <v>4.9.</v>
      </c>
      <c r="B199" s="353" t="str">
        <f>'[1]сравнительная таблица'!C207</f>
        <v>измерение естественной или искусственной освещенности</v>
      </c>
      <c r="C199" s="342" t="s">
        <v>54</v>
      </c>
      <c r="D199" s="365">
        <f>5.33*1.06</f>
        <v>5.6498</v>
      </c>
      <c r="E199" s="365">
        <f>'[1]сравнительная таблица'!N207</f>
        <v>0.74</v>
      </c>
      <c r="F199" s="365">
        <f>2.67*1.06</f>
        <v>2.8302</v>
      </c>
      <c r="G199" s="368"/>
    </row>
    <row r="200" spans="1:7" ht="25.5">
      <c r="A200" s="342" t="str">
        <f>'[1]сравнительная таблица'!B208</f>
        <v>4.12.</v>
      </c>
      <c r="B200" s="353" t="str">
        <f>'[1]сравнительная таблица'!C208</f>
        <v>измерение температуры или относительной влажности воздуха</v>
      </c>
      <c r="C200" s="342" t="s">
        <v>54</v>
      </c>
      <c r="D200" s="365">
        <f>1.88*1.06</f>
        <v>1.9928</v>
      </c>
      <c r="E200" s="365">
        <f>'[1]сравнительная таблица'!N208</f>
        <v>0.74</v>
      </c>
      <c r="F200" s="365">
        <f>0.98*1.06</f>
        <v>1.0388</v>
      </c>
      <c r="G200" s="368"/>
    </row>
    <row r="201" spans="1:7" ht="29.25" customHeight="1">
      <c r="A201" s="342" t="str">
        <f>'[1]сравнительная таблица'!B209</f>
        <v>4.16.</v>
      </c>
      <c r="B201" s="353" t="str">
        <f>'[1]сравнительная таблица'!C209</f>
        <v>измерение эквивалентного и максимального уровней звука</v>
      </c>
      <c r="C201" s="342" t="s">
        <v>54</v>
      </c>
      <c r="D201" s="365">
        <f>4.26*1.06</f>
        <v>4.5156</v>
      </c>
      <c r="E201" s="365">
        <f>'[1]сравнительная таблица'!N209</f>
        <v>1.66</v>
      </c>
      <c r="F201" s="365">
        <f>2.12*1.06</f>
        <v>2.2472000000000003</v>
      </c>
      <c r="G201" s="368"/>
    </row>
    <row r="202" spans="1:7" ht="25.5">
      <c r="A202" s="342" t="str">
        <f>'[1]сравнительная таблица'!B210</f>
        <v>4.17.</v>
      </c>
      <c r="B202" s="353" t="str">
        <f>'[1]сравнительная таблица'!C210</f>
        <v>измерение корректированного и спектральных уровней вибрации в октавных (третьоктавных) полосах частот</v>
      </c>
      <c r="C202" s="342" t="s">
        <v>54</v>
      </c>
      <c r="D202" s="365">
        <f>6.32*1.06</f>
        <v>6.6992</v>
      </c>
      <c r="E202" s="365">
        <f>'[1]сравнительная таблица'!N210</f>
        <v>2.48</v>
      </c>
      <c r="F202" s="365">
        <f>3.16*1.06</f>
        <v>3.3496</v>
      </c>
      <c r="G202" s="368"/>
    </row>
    <row r="203" spans="1:7" ht="17.25" customHeight="1">
      <c r="A203" s="342" t="str">
        <f>'[1]сравнительная таблица'!B211</f>
        <v>4.18.</v>
      </c>
      <c r="B203" s="353" t="str">
        <f>'[1]сравнительная таблица'!C211</f>
        <v>измерение эквивалентных корректированного и спектральных уровней вибрации в октавных (третьоктавных) полосах частот</v>
      </c>
      <c r="C203" s="342" t="s">
        <v>54</v>
      </c>
      <c r="D203" s="365">
        <f>6.32*1.06</f>
        <v>6.6992</v>
      </c>
      <c r="E203" s="365">
        <f>'[1]сравнительная таблица'!N211</f>
        <v>2.48</v>
      </c>
      <c r="F203" s="365">
        <f>3.16*1.06</f>
        <v>3.3496</v>
      </c>
      <c r="G203" s="368"/>
    </row>
    <row r="204" spans="1:7" ht="17.25" customHeight="1">
      <c r="A204" s="342" t="s">
        <v>995</v>
      </c>
      <c r="B204" s="353" t="s">
        <v>1002</v>
      </c>
      <c r="C204" s="342" t="s">
        <v>54</v>
      </c>
      <c r="D204" s="365">
        <f>4.06*1.06</f>
        <v>4.303599999999999</v>
      </c>
      <c r="E204" s="365"/>
      <c r="F204" s="365">
        <f>2.33*1.06</f>
        <v>2.4698</v>
      </c>
      <c r="G204" s="368"/>
    </row>
    <row r="205" spans="1:7" ht="31.5">
      <c r="A205" s="409" t="s">
        <v>450</v>
      </c>
      <c r="B205" s="410" t="s">
        <v>451</v>
      </c>
      <c r="C205" s="342"/>
      <c r="D205" s="365"/>
      <c r="E205" s="365"/>
      <c r="F205" s="367"/>
      <c r="G205" s="368"/>
    </row>
    <row r="206" spans="1:7" ht="15.75">
      <c r="A206" s="409"/>
      <c r="B206" s="410"/>
      <c r="C206" s="342"/>
      <c r="D206" s="365"/>
      <c r="E206" s="365"/>
      <c r="F206" s="367"/>
      <c r="G206" s="368"/>
    </row>
    <row r="207" spans="1:7" ht="12.75">
      <c r="A207" s="376" t="s">
        <v>452</v>
      </c>
      <c r="B207" s="393" t="s">
        <v>453</v>
      </c>
      <c r="C207" s="342"/>
      <c r="D207" s="365"/>
      <c r="E207" s="365"/>
      <c r="F207" s="367"/>
      <c r="G207" s="368"/>
    </row>
    <row r="208" spans="1:7" ht="12.75">
      <c r="A208" s="376" t="s">
        <v>454</v>
      </c>
      <c r="B208" s="393" t="s">
        <v>455</v>
      </c>
      <c r="C208" s="342"/>
      <c r="D208" s="365"/>
      <c r="E208" s="365"/>
      <c r="F208" s="367"/>
      <c r="G208" s="368"/>
    </row>
    <row r="209" spans="1:7" ht="25.5">
      <c r="A209" s="342" t="s">
        <v>456</v>
      </c>
      <c r="B209" s="353" t="s">
        <v>457</v>
      </c>
      <c r="C209" s="342" t="s">
        <v>54</v>
      </c>
      <c r="D209" s="365">
        <f>5.52*1.06</f>
        <v>5.8511999999999995</v>
      </c>
      <c r="E209" s="366"/>
      <c r="F209" s="367">
        <f>4.66*1.06</f>
        <v>4.9396</v>
      </c>
      <c r="G209" s="368"/>
    </row>
    <row r="210" spans="1:7" ht="25.5">
      <c r="A210" s="342" t="s">
        <v>458</v>
      </c>
      <c r="B210" s="353" t="s">
        <v>459</v>
      </c>
      <c r="C210" s="342" t="s">
        <v>54</v>
      </c>
      <c r="D210" s="365">
        <f>6.02*1.06</f>
        <v>6.3812</v>
      </c>
      <c r="E210" s="366"/>
      <c r="F210" s="367">
        <f>4.63*1.06</f>
        <v>4.9078</v>
      </c>
      <c r="G210" s="368"/>
    </row>
    <row r="211" spans="1:7" ht="12.75">
      <c r="A211" s="376" t="s">
        <v>460</v>
      </c>
      <c r="B211" s="393" t="s">
        <v>461</v>
      </c>
      <c r="C211" s="342"/>
      <c r="D211" s="365"/>
      <c r="E211" s="365"/>
      <c r="F211" s="367"/>
      <c r="G211" s="368"/>
    </row>
    <row r="212" spans="1:7" ht="19.5" customHeight="1">
      <c r="A212" s="342" t="s">
        <v>464</v>
      </c>
      <c r="B212" s="353" t="s">
        <v>465</v>
      </c>
      <c r="C212" s="342" t="s">
        <v>54</v>
      </c>
      <c r="D212" s="365">
        <f>2.08*1.06</f>
        <v>2.2048</v>
      </c>
      <c r="E212" s="366"/>
      <c r="F212" s="367">
        <f>2.08*1.06</f>
        <v>2.2048</v>
      </c>
      <c r="G212" s="368"/>
    </row>
    <row r="213" spans="1:7" ht="12.75">
      <c r="A213" s="376" t="s">
        <v>39</v>
      </c>
      <c r="B213" s="393" t="s">
        <v>468</v>
      </c>
      <c r="C213" s="342"/>
      <c r="D213" s="365"/>
      <c r="E213" s="365"/>
      <c r="F213" s="367"/>
      <c r="G213" s="368"/>
    </row>
    <row r="214" spans="1:7" ht="17.25" customHeight="1">
      <c r="A214" s="342" t="s">
        <v>471</v>
      </c>
      <c r="B214" s="353" t="s">
        <v>472</v>
      </c>
      <c r="C214" s="342" t="s">
        <v>54</v>
      </c>
      <c r="D214" s="365">
        <f>4.06*1.06</f>
        <v>4.303599999999999</v>
      </c>
      <c r="E214" s="366"/>
      <c r="F214" s="367">
        <f>0.48*1.06</f>
        <v>0.5088</v>
      </c>
      <c r="G214" s="368"/>
    </row>
    <row r="215" spans="1:7" ht="12.75">
      <c r="A215" s="342"/>
      <c r="B215" s="353"/>
      <c r="C215" s="342"/>
      <c r="D215" s="365"/>
      <c r="E215" s="366"/>
      <c r="F215" s="367"/>
      <c r="G215" s="368"/>
    </row>
    <row r="216" spans="1:7" ht="15.75">
      <c r="A216" s="411" t="s">
        <v>695</v>
      </c>
      <c r="B216" s="410" t="s">
        <v>696</v>
      </c>
      <c r="C216" s="342"/>
      <c r="D216" s="365"/>
      <c r="E216" s="365"/>
      <c r="F216" s="367"/>
      <c r="G216" s="368"/>
    </row>
    <row r="217" spans="1:7" ht="15.75">
      <c r="A217" s="411"/>
      <c r="B217" s="410"/>
      <c r="C217" s="342"/>
      <c r="D217" s="365"/>
      <c r="E217" s="365"/>
      <c r="F217" s="367"/>
      <c r="G217" s="368"/>
    </row>
    <row r="218" spans="1:7" ht="12.75">
      <c r="A218" s="376" t="s">
        <v>43</v>
      </c>
      <c r="B218" s="393" t="s">
        <v>697</v>
      </c>
      <c r="C218" s="342"/>
      <c r="D218" s="365"/>
      <c r="E218" s="365"/>
      <c r="F218" s="367"/>
      <c r="G218" s="368"/>
    </row>
    <row r="219" spans="1:7" ht="12.75">
      <c r="A219" s="376" t="s">
        <v>698</v>
      </c>
      <c r="B219" s="393" t="s">
        <v>699</v>
      </c>
      <c r="C219" s="342"/>
      <c r="D219" s="365"/>
      <c r="E219" s="365"/>
      <c r="F219" s="367"/>
      <c r="G219" s="368"/>
    </row>
    <row r="220" spans="1:7" ht="17.25" customHeight="1">
      <c r="A220" s="342" t="s">
        <v>701</v>
      </c>
      <c r="B220" s="353" t="s">
        <v>702</v>
      </c>
      <c r="C220" s="342" t="s">
        <v>717</v>
      </c>
      <c r="D220" s="365">
        <f>0.46*1.06</f>
        <v>0.48760000000000003</v>
      </c>
      <c r="E220" s="366"/>
      <c r="F220" s="367">
        <f>0.46*1.06</f>
        <v>0.48760000000000003</v>
      </c>
      <c r="G220" s="368"/>
    </row>
    <row r="221" spans="1:7" ht="17.25" customHeight="1">
      <c r="A221" s="342" t="s">
        <v>473</v>
      </c>
      <c r="B221" s="353" t="s">
        <v>474</v>
      </c>
      <c r="C221" s="342" t="s">
        <v>718</v>
      </c>
      <c r="D221" s="365">
        <f>1.94*1.06</f>
        <v>2.0564</v>
      </c>
      <c r="E221" s="366"/>
      <c r="F221" s="367">
        <f>0.98*1.06</f>
        <v>1.0388</v>
      </c>
      <c r="G221" s="368"/>
    </row>
    <row r="222" spans="1:7" ht="25.5">
      <c r="A222" s="342" t="s">
        <v>475</v>
      </c>
      <c r="B222" s="353" t="s">
        <v>476</v>
      </c>
      <c r="C222" s="342" t="s">
        <v>54</v>
      </c>
      <c r="D222" s="365">
        <f>0.18*1.06</f>
        <v>0.1908</v>
      </c>
      <c r="E222" s="366"/>
      <c r="F222" s="367">
        <f>0.18*1.06</f>
        <v>0.1908</v>
      </c>
      <c r="G222" s="368"/>
    </row>
    <row r="223" spans="1:7" ht="12.75">
      <c r="A223" s="349" t="s">
        <v>479</v>
      </c>
      <c r="B223" s="350" t="s">
        <v>480</v>
      </c>
      <c r="C223" s="342"/>
      <c r="D223" s="365"/>
      <c r="E223" s="365"/>
      <c r="F223" s="367"/>
      <c r="G223" s="368"/>
    </row>
    <row r="224" spans="1:7" ht="39.75" customHeight="1">
      <c r="A224" s="342" t="s">
        <v>481</v>
      </c>
      <c r="B224" s="353" t="s">
        <v>482</v>
      </c>
      <c r="C224" s="342" t="s">
        <v>54</v>
      </c>
      <c r="D224" s="365">
        <f>0.28*1.06</f>
        <v>0.29680000000000006</v>
      </c>
      <c r="E224" s="366"/>
      <c r="F224" s="367">
        <f>0.28*1.06</f>
        <v>0.29680000000000006</v>
      </c>
      <c r="G224" s="368"/>
    </row>
    <row r="225" spans="1:7" ht="30.75" customHeight="1">
      <c r="A225" s="342" t="s">
        <v>483</v>
      </c>
      <c r="B225" s="353" t="s">
        <v>484</v>
      </c>
      <c r="C225" s="342" t="s">
        <v>54</v>
      </c>
      <c r="D225" s="365">
        <f>0.15*1.06</f>
        <v>0.159</v>
      </c>
      <c r="E225" s="366"/>
      <c r="F225" s="367">
        <f>0.15*1.06</f>
        <v>0.159</v>
      </c>
      <c r="G225" s="368"/>
    </row>
    <row r="226" spans="1:7" ht="25.5">
      <c r="A226" s="342" t="s">
        <v>485</v>
      </c>
      <c r="B226" s="353" t="s">
        <v>486</v>
      </c>
      <c r="C226" s="342" t="s">
        <v>54</v>
      </c>
      <c r="D226" s="365">
        <f>0.29*1.06</f>
        <v>0.3074</v>
      </c>
      <c r="E226" s="366"/>
      <c r="F226" s="367">
        <f>0.34*1.06</f>
        <v>0.36040000000000005</v>
      </c>
      <c r="G226" s="368"/>
    </row>
    <row r="227" spans="1:7" ht="25.5">
      <c r="A227" s="342" t="s">
        <v>487</v>
      </c>
      <c r="B227" s="353" t="s">
        <v>488</v>
      </c>
      <c r="C227" s="342" t="s">
        <v>54</v>
      </c>
      <c r="D227" s="365">
        <f>0.65*1.06</f>
        <v>0.6890000000000001</v>
      </c>
      <c r="E227" s="366"/>
      <c r="F227" s="367">
        <f>0.65*1.06</f>
        <v>0.6890000000000001</v>
      </c>
      <c r="G227" s="368"/>
    </row>
    <row r="228" spans="1:7" ht="25.5">
      <c r="A228" s="349" t="s">
        <v>489</v>
      </c>
      <c r="B228" s="350" t="s">
        <v>490</v>
      </c>
      <c r="C228" s="342"/>
      <c r="D228" s="365"/>
      <c r="E228" s="365"/>
      <c r="F228" s="367"/>
      <c r="G228" s="368"/>
    </row>
    <row r="229" spans="1:7" ht="25.5">
      <c r="A229" s="349" t="s">
        <v>491</v>
      </c>
      <c r="B229" s="350" t="s">
        <v>492</v>
      </c>
      <c r="C229" s="342"/>
      <c r="D229" s="365"/>
      <c r="E229" s="365"/>
      <c r="F229" s="367"/>
      <c r="G229" s="368"/>
    </row>
    <row r="230" spans="1:7" ht="51">
      <c r="A230" s="342" t="s">
        <v>493</v>
      </c>
      <c r="B230" s="353" t="s">
        <v>494</v>
      </c>
      <c r="C230" s="342" t="s">
        <v>54</v>
      </c>
      <c r="D230" s="365">
        <f>1.53*1.06</f>
        <v>1.6218000000000001</v>
      </c>
      <c r="E230" s="366"/>
      <c r="F230" s="367">
        <f>1.32*1.06</f>
        <v>1.3992000000000002</v>
      </c>
      <c r="G230" s="368"/>
    </row>
    <row r="231" spans="1:7" ht="63.75">
      <c r="A231" s="342" t="s">
        <v>495</v>
      </c>
      <c r="B231" s="353" t="s">
        <v>496</v>
      </c>
      <c r="C231" s="342" t="s">
        <v>54</v>
      </c>
      <c r="D231" s="365">
        <f>3.64*1.06</f>
        <v>3.8584000000000005</v>
      </c>
      <c r="E231" s="366"/>
      <c r="F231" s="367">
        <f>2.91*1.06</f>
        <v>3.0846000000000005</v>
      </c>
      <c r="G231" s="368"/>
    </row>
    <row r="232" spans="1:7" ht="54" customHeight="1">
      <c r="A232" s="342" t="s">
        <v>497</v>
      </c>
      <c r="B232" s="353" t="s">
        <v>498</v>
      </c>
      <c r="C232" s="342" t="s">
        <v>54</v>
      </c>
      <c r="D232" s="365">
        <f>1.98*1.06</f>
        <v>2.0988</v>
      </c>
      <c r="E232" s="366"/>
      <c r="F232" s="367">
        <f>1.56*1.06</f>
        <v>1.6536000000000002</v>
      </c>
      <c r="G232" s="368"/>
    </row>
    <row r="233" spans="1:7" ht="65.25" customHeight="1">
      <c r="A233" s="342" t="s">
        <v>499</v>
      </c>
      <c r="B233" s="353" t="s">
        <v>500</v>
      </c>
      <c r="C233" s="342" t="s">
        <v>54</v>
      </c>
      <c r="D233" s="365">
        <f>1.77*1.06</f>
        <v>1.8762</v>
      </c>
      <c r="E233" s="366"/>
      <c r="F233" s="367">
        <f>1.39*1.06</f>
        <v>1.4734</v>
      </c>
      <c r="G233" s="368"/>
    </row>
    <row r="234" spans="1:7" ht="25.5">
      <c r="A234" s="342" t="s">
        <v>501</v>
      </c>
      <c r="B234" s="353" t="s">
        <v>502</v>
      </c>
      <c r="C234" s="342" t="s">
        <v>54</v>
      </c>
      <c r="D234" s="365">
        <f>1.77*1.06</f>
        <v>1.8762</v>
      </c>
      <c r="E234" s="366"/>
      <c r="F234" s="367">
        <f>1.39*1.06</f>
        <v>1.4734</v>
      </c>
      <c r="G234" s="368"/>
    </row>
    <row r="235" spans="1:7" ht="33.75" customHeight="1">
      <c r="A235" s="342" t="s">
        <v>503</v>
      </c>
      <c r="B235" s="353" t="s">
        <v>504</v>
      </c>
      <c r="C235" s="342" t="s">
        <v>54</v>
      </c>
      <c r="D235" s="365">
        <f>1.77*1.06</f>
        <v>1.8762</v>
      </c>
      <c r="E235" s="366"/>
      <c r="F235" s="367">
        <f>1.39*1.06</f>
        <v>1.4734</v>
      </c>
      <c r="G235" s="368"/>
    </row>
    <row r="236" spans="1:7" ht="28.5" customHeight="1">
      <c r="A236" s="342" t="s">
        <v>505</v>
      </c>
      <c r="B236" s="353" t="s">
        <v>506</v>
      </c>
      <c r="C236" s="342" t="s">
        <v>54</v>
      </c>
      <c r="D236" s="365">
        <f>3.53*1.06</f>
        <v>3.7418</v>
      </c>
      <c r="E236" s="366"/>
      <c r="F236" s="367">
        <f>3.53*1.06</f>
        <v>3.7418</v>
      </c>
      <c r="G236" s="368"/>
    </row>
    <row r="237" spans="1:7" ht="12.75">
      <c r="A237" s="349" t="s">
        <v>507</v>
      </c>
      <c r="B237" s="350" t="s">
        <v>508</v>
      </c>
      <c r="C237" s="342"/>
      <c r="D237" s="365"/>
      <c r="E237" s="365"/>
      <c r="F237" s="367"/>
      <c r="G237" s="368"/>
    </row>
    <row r="238" spans="1:7" ht="25.5">
      <c r="A238" s="349" t="s">
        <v>509</v>
      </c>
      <c r="B238" s="350" t="s">
        <v>510</v>
      </c>
      <c r="C238" s="342"/>
      <c r="D238" s="365"/>
      <c r="E238" s="365"/>
      <c r="F238" s="367"/>
      <c r="G238" s="368"/>
    </row>
    <row r="239" spans="1:7" ht="43.5" customHeight="1">
      <c r="A239" s="342" t="s">
        <v>511</v>
      </c>
      <c r="B239" s="353" t="s">
        <v>694</v>
      </c>
      <c r="C239" s="342" t="s">
        <v>54</v>
      </c>
      <c r="D239" s="365">
        <f>0.54*1.06</f>
        <v>0.5724</v>
      </c>
      <c r="E239" s="366"/>
      <c r="F239" s="367">
        <f>0.54*1.06</f>
        <v>0.5724</v>
      </c>
      <c r="G239" s="368"/>
    </row>
    <row r="240" spans="1:7" ht="38.25">
      <c r="A240" s="349" t="s">
        <v>512</v>
      </c>
      <c r="B240" s="350" t="s">
        <v>513</v>
      </c>
      <c r="C240" s="342"/>
      <c r="D240" s="365"/>
      <c r="E240" s="365"/>
      <c r="F240" s="367"/>
      <c r="G240" s="368"/>
    </row>
    <row r="241" spans="1:7" ht="12.75">
      <c r="A241" s="342" t="s">
        <v>514</v>
      </c>
      <c r="B241" s="353" t="s">
        <v>515</v>
      </c>
      <c r="C241" s="342" t="s">
        <v>54</v>
      </c>
      <c r="D241" s="365">
        <f>0.64*1.06</f>
        <v>0.6784</v>
      </c>
      <c r="E241" s="366"/>
      <c r="F241" s="367">
        <f>0.64*1.06</f>
        <v>0.6784</v>
      </c>
      <c r="G241" s="368"/>
    </row>
    <row r="242" spans="1:7" ht="25.5">
      <c r="A242" s="342" t="s">
        <v>516</v>
      </c>
      <c r="B242" s="353" t="s">
        <v>517</v>
      </c>
      <c r="C242" s="342" t="s">
        <v>54</v>
      </c>
      <c r="D242" s="365">
        <f>0.64*1.06</f>
        <v>0.6784</v>
      </c>
      <c r="E242" s="366"/>
      <c r="F242" s="367">
        <f>0.64*1.06</f>
        <v>0.6784</v>
      </c>
      <c r="G242" s="368"/>
    </row>
    <row r="243" spans="1:7" ht="38.25">
      <c r="A243" s="342" t="s">
        <v>518</v>
      </c>
      <c r="B243" s="353" t="s">
        <v>519</v>
      </c>
      <c r="C243" s="342" t="s">
        <v>54</v>
      </c>
      <c r="D243" s="365">
        <f>0.87*1.06</f>
        <v>0.9222</v>
      </c>
      <c r="E243" s="366"/>
      <c r="F243" s="367">
        <f>0.87*1.06</f>
        <v>0.9222</v>
      </c>
      <c r="G243" s="368"/>
    </row>
    <row r="244" spans="1:7" ht="25.5">
      <c r="A244" s="342" t="s">
        <v>522</v>
      </c>
      <c r="B244" s="353" t="s">
        <v>523</v>
      </c>
      <c r="C244" s="342" t="s">
        <v>54</v>
      </c>
      <c r="D244" s="365">
        <f>0.75*1.06</f>
        <v>0.795</v>
      </c>
      <c r="E244" s="366"/>
      <c r="F244" s="367">
        <f>0.75*1.06</f>
        <v>0.795</v>
      </c>
      <c r="G244" s="368"/>
    </row>
    <row r="245" spans="1:7" ht="25.5">
      <c r="A245" s="342" t="s">
        <v>524</v>
      </c>
      <c r="B245" s="353" t="s">
        <v>525</v>
      </c>
      <c r="C245" s="342" t="s">
        <v>54</v>
      </c>
      <c r="D245" s="365">
        <f>0.64*1.06</f>
        <v>0.6784</v>
      </c>
      <c r="E245" s="366"/>
      <c r="F245" s="367">
        <f>0.64*1.06</f>
        <v>0.6784</v>
      </c>
      <c r="G245" s="368"/>
    </row>
    <row r="246" spans="1:7" ht="25.5">
      <c r="A246" s="342" t="s">
        <v>526</v>
      </c>
      <c r="B246" s="353" t="s">
        <v>527</v>
      </c>
      <c r="C246" s="342" t="s">
        <v>54</v>
      </c>
      <c r="D246" s="365">
        <f>1.11*1.06</f>
        <v>1.1766</v>
      </c>
      <c r="E246" s="366"/>
      <c r="F246" s="367">
        <f>1.11*1.06</f>
        <v>1.1766</v>
      </c>
      <c r="G246" s="368"/>
    </row>
    <row r="247" spans="1:7" ht="38.25" customHeight="1">
      <c r="A247" s="342" t="s">
        <v>528</v>
      </c>
      <c r="B247" s="353" t="s">
        <v>529</v>
      </c>
      <c r="C247" s="342" t="s">
        <v>54</v>
      </c>
      <c r="D247" s="365">
        <f>1.11*1.06</f>
        <v>1.1766</v>
      </c>
      <c r="E247" s="366"/>
      <c r="F247" s="367">
        <f>1.11*1.06</f>
        <v>1.1766</v>
      </c>
      <c r="G247" s="368"/>
    </row>
    <row r="248" spans="1:7" ht="37.5" customHeight="1">
      <c r="A248" s="342" t="s">
        <v>1131</v>
      </c>
      <c r="B248" s="353" t="s">
        <v>1138</v>
      </c>
      <c r="C248" s="342" t="s">
        <v>54</v>
      </c>
      <c r="D248" s="365">
        <f>15.05*1.06</f>
        <v>15.953000000000001</v>
      </c>
      <c r="E248" s="366"/>
      <c r="F248" s="367">
        <f>9*1.06</f>
        <v>9.540000000000001</v>
      </c>
      <c r="G248" s="368"/>
    </row>
    <row r="249" spans="1:7" ht="25.5">
      <c r="A249" s="342" t="s">
        <v>530</v>
      </c>
      <c r="B249" s="353" t="s">
        <v>531</v>
      </c>
      <c r="C249" s="342" t="s">
        <v>54</v>
      </c>
      <c r="D249" s="365">
        <f>0.49*1.05</f>
        <v>0.5145</v>
      </c>
      <c r="E249" s="366"/>
      <c r="F249" s="367">
        <f>0.49*1.06</f>
        <v>0.5194</v>
      </c>
      <c r="G249" s="368"/>
    </row>
    <row r="250" spans="1:7" ht="25.5">
      <c r="A250" s="342" t="s">
        <v>1133</v>
      </c>
      <c r="B250" s="353" t="s">
        <v>1139</v>
      </c>
      <c r="C250" s="342" t="s">
        <v>54</v>
      </c>
      <c r="D250" s="365">
        <f>7.1*1.06</f>
        <v>7.526</v>
      </c>
      <c r="E250" s="366"/>
      <c r="F250" s="367">
        <f>4.24*1.06</f>
        <v>4.494400000000001</v>
      </c>
      <c r="G250" s="368"/>
    </row>
    <row r="251" spans="1:7" ht="25.5">
      <c r="A251" s="342" t="s">
        <v>532</v>
      </c>
      <c r="B251" s="353" t="s">
        <v>533</v>
      </c>
      <c r="C251" s="342" t="s">
        <v>54</v>
      </c>
      <c r="D251" s="365">
        <f>0.54*1.06</f>
        <v>0.5724</v>
      </c>
      <c r="E251" s="366"/>
      <c r="F251" s="367">
        <f>0.54*1.06</f>
        <v>0.5724</v>
      </c>
      <c r="G251" s="368"/>
    </row>
    <row r="252" spans="1:7" s="361" customFormat="1" ht="38.25">
      <c r="A252" s="342" t="s">
        <v>828</v>
      </c>
      <c r="B252" s="431" t="s">
        <v>829</v>
      </c>
      <c r="C252" s="342" t="s">
        <v>54</v>
      </c>
      <c r="D252" s="365">
        <f>1.25*1.06</f>
        <v>1.3250000000000002</v>
      </c>
      <c r="E252" s="366"/>
      <c r="F252" s="367">
        <f>1.25*1.06</f>
        <v>1.3250000000000002</v>
      </c>
      <c r="G252" s="368"/>
    </row>
    <row r="253" spans="1:7" ht="25.5">
      <c r="A253" s="342" t="s">
        <v>1030</v>
      </c>
      <c r="B253" s="353" t="s">
        <v>1031</v>
      </c>
      <c r="C253" s="342" t="s">
        <v>54</v>
      </c>
      <c r="D253" s="365">
        <f>4.56*1.06</f>
        <v>4.8336</v>
      </c>
      <c r="E253" s="366"/>
      <c r="F253" s="367">
        <f>4.56*1.06</f>
        <v>4.8336</v>
      </c>
      <c r="G253" s="368"/>
    </row>
    <row r="254" spans="1:7" ht="25.5">
      <c r="A254" s="349" t="s">
        <v>534</v>
      </c>
      <c r="B254" s="350" t="s">
        <v>1140</v>
      </c>
      <c r="C254" s="342"/>
      <c r="D254" s="365"/>
      <c r="E254" s="365"/>
      <c r="F254" s="367"/>
      <c r="G254" s="368"/>
    </row>
    <row r="255" spans="1:7" ht="40.5" customHeight="1">
      <c r="A255" s="342" t="s">
        <v>536</v>
      </c>
      <c r="B255" s="353" t="s">
        <v>515</v>
      </c>
      <c r="C255" s="342" t="s">
        <v>54</v>
      </c>
      <c r="D255" s="365">
        <f>3.17*1.06</f>
        <v>3.3602000000000003</v>
      </c>
      <c r="E255" s="366"/>
      <c r="F255" s="367">
        <f>3.23*1.06</f>
        <v>3.4238</v>
      </c>
      <c r="G255" s="368"/>
    </row>
    <row r="256" spans="1:7" ht="25.5">
      <c r="A256" s="342" t="s">
        <v>537</v>
      </c>
      <c r="B256" s="353" t="s">
        <v>517</v>
      </c>
      <c r="C256" s="342" t="s">
        <v>54</v>
      </c>
      <c r="D256" s="365">
        <f>3.17*1.06</f>
        <v>3.3602000000000003</v>
      </c>
      <c r="E256" s="366"/>
      <c r="F256" s="367">
        <f>3.23*1.06</f>
        <v>3.4238</v>
      </c>
      <c r="G256" s="368"/>
    </row>
    <row r="257" spans="1:7" ht="25.5">
      <c r="A257" s="342" t="s">
        <v>538</v>
      </c>
      <c r="B257" s="353" t="s">
        <v>539</v>
      </c>
      <c r="C257" s="342" t="s">
        <v>54</v>
      </c>
      <c r="D257" s="365">
        <f>6.7*1.06</f>
        <v>7.102</v>
      </c>
      <c r="E257" s="366"/>
      <c r="F257" s="367">
        <f>4.24*1.06</f>
        <v>4.494400000000001</v>
      </c>
      <c r="G257" s="368"/>
    </row>
    <row r="258" spans="1:7" ht="25.5">
      <c r="A258" s="342" t="s">
        <v>540</v>
      </c>
      <c r="B258" s="353" t="s">
        <v>541</v>
      </c>
      <c r="C258" s="342" t="s">
        <v>54</v>
      </c>
      <c r="D258" s="365">
        <f>6.7*1.06</f>
        <v>7.102</v>
      </c>
      <c r="E258" s="366"/>
      <c r="F258" s="367">
        <f>4.24*1.06</f>
        <v>4.494400000000001</v>
      </c>
      <c r="G258" s="368"/>
    </row>
    <row r="259" spans="1:7" ht="17.25" customHeight="1">
      <c r="A259" s="349" t="s">
        <v>548</v>
      </c>
      <c r="B259" s="350" t="s">
        <v>549</v>
      </c>
      <c r="C259" s="342"/>
      <c r="D259" s="365"/>
      <c r="E259" s="365"/>
      <c r="F259" s="367"/>
      <c r="G259" s="368"/>
    </row>
    <row r="260" spans="1:7" ht="18" customHeight="1">
      <c r="A260" s="342" t="s">
        <v>550</v>
      </c>
      <c r="B260" s="353" t="s">
        <v>545</v>
      </c>
      <c r="C260" s="342" t="s">
        <v>54</v>
      </c>
      <c r="D260" s="365">
        <f>3.31*1.06</f>
        <v>3.5086000000000004</v>
      </c>
      <c r="E260" s="366"/>
      <c r="F260" s="367">
        <f>1.9*1.06</f>
        <v>2.014</v>
      </c>
      <c r="G260" s="368"/>
    </row>
    <row r="261" spans="1:7" ht="25.5">
      <c r="A261" s="342" t="s">
        <v>551</v>
      </c>
      <c r="B261" s="353" t="s">
        <v>547</v>
      </c>
      <c r="C261" s="342" t="s">
        <v>54</v>
      </c>
      <c r="D261" s="365">
        <f>3.83*1.06</f>
        <v>4.0598</v>
      </c>
      <c r="E261" s="366"/>
      <c r="F261" s="367">
        <f>3.53*1.06</f>
        <v>3.7418</v>
      </c>
      <c r="G261" s="368"/>
    </row>
    <row r="262" spans="1:7" ht="21" customHeight="1">
      <c r="A262" s="342" t="s">
        <v>552</v>
      </c>
      <c r="B262" s="353" t="s">
        <v>553</v>
      </c>
      <c r="C262" s="342" t="s">
        <v>54</v>
      </c>
      <c r="D262" s="365">
        <f>1*1.06</f>
        <v>1.06</v>
      </c>
      <c r="E262" s="366"/>
      <c r="F262" s="367">
        <f>1*1.06</f>
        <v>1.06</v>
      </c>
      <c r="G262" s="368"/>
    </row>
    <row r="263" spans="1:7" ht="26.25" customHeight="1">
      <c r="A263" s="342" t="str">
        <f>'[1]сравнительная таблица'!B269</f>
        <v>6.3.1.26.</v>
      </c>
      <c r="B263" s="353" t="str">
        <f>'[1]сравнительная таблица'!C269</f>
        <v>определение колифагов в воде прямым методом</v>
      </c>
      <c r="C263" s="342" t="s">
        <v>54</v>
      </c>
      <c r="D263" s="365">
        <f>0.96*1.06</f>
        <v>1.0176</v>
      </c>
      <c r="E263" s="366"/>
      <c r="F263" s="367">
        <f>0.96*1.06</f>
        <v>1.0176</v>
      </c>
      <c r="G263" s="368"/>
    </row>
    <row r="264" spans="1:7" ht="26.25" customHeight="1">
      <c r="A264" s="376" t="str">
        <f>'[1]сравнительная таблица'!B270</f>
        <v>6.3.1.27.</v>
      </c>
      <c r="B264" s="393" t="str">
        <f>'[1]сравнительная таблица'!C270</f>
        <v>обнаружение спор сульфитредуцирующих клостридий в воде:</v>
      </c>
      <c r="C264" s="376"/>
      <c r="D264" s="365"/>
      <c r="E264" s="377"/>
      <c r="F264" s="365"/>
      <c r="G264" s="368"/>
    </row>
    <row r="265" spans="1:7" ht="42.75" customHeight="1">
      <c r="A265" s="342" t="s">
        <v>1141</v>
      </c>
      <c r="B265" s="353" t="s">
        <v>1038</v>
      </c>
      <c r="C265" s="342" t="s">
        <v>54</v>
      </c>
      <c r="D265" s="367">
        <f>3.31*1.06</f>
        <v>3.5086000000000004</v>
      </c>
      <c r="E265" s="366"/>
      <c r="F265" s="367">
        <f>1.9*1.06</f>
        <v>2.014</v>
      </c>
      <c r="G265" s="426"/>
    </row>
    <row r="266" spans="1:7" ht="25.5">
      <c r="A266" s="349" t="s">
        <v>555</v>
      </c>
      <c r="B266" s="350" t="s">
        <v>556</v>
      </c>
      <c r="C266" s="342"/>
      <c r="D266" s="365"/>
      <c r="E266" s="365"/>
      <c r="F266" s="367"/>
      <c r="G266" s="368"/>
    </row>
    <row r="267" spans="1:7" ht="18.75" customHeight="1">
      <c r="A267" s="342" t="s">
        <v>557</v>
      </c>
      <c r="B267" s="353" t="s">
        <v>545</v>
      </c>
      <c r="C267" s="342" t="s">
        <v>54</v>
      </c>
      <c r="D267" s="365">
        <f>3.13*1.06</f>
        <v>3.3178</v>
      </c>
      <c r="E267" s="366"/>
      <c r="F267" s="367">
        <f>1.9*1.06</f>
        <v>2.014</v>
      </c>
      <c r="G267" s="368"/>
    </row>
    <row r="268" spans="1:7" ht="25.5">
      <c r="A268" s="342" t="s">
        <v>558</v>
      </c>
      <c r="B268" s="353" t="s">
        <v>559</v>
      </c>
      <c r="C268" s="342" t="s">
        <v>54</v>
      </c>
      <c r="D268" s="365">
        <f>6.66*1.06</f>
        <v>7.0596000000000005</v>
      </c>
      <c r="E268" s="366"/>
      <c r="F268" s="367">
        <f>5.42*1.06</f>
        <v>5.7452000000000005</v>
      </c>
      <c r="G268" s="368"/>
    </row>
    <row r="269" spans="1:7" ht="25.5">
      <c r="A269" s="349" t="s">
        <v>564</v>
      </c>
      <c r="B269" s="350" t="s">
        <v>565</v>
      </c>
      <c r="C269" s="342"/>
      <c r="D269" s="365"/>
      <c r="E269" s="365"/>
      <c r="F269" s="367"/>
      <c r="G269" s="368"/>
    </row>
    <row r="270" spans="1:7" ht="23.25" customHeight="1">
      <c r="A270" s="342" t="s">
        <v>566</v>
      </c>
      <c r="B270" s="353" t="s">
        <v>545</v>
      </c>
      <c r="C270" s="342" t="s">
        <v>54</v>
      </c>
      <c r="D270" s="365">
        <f>3.13*1.06</f>
        <v>3.3178</v>
      </c>
      <c r="E270" s="366"/>
      <c r="F270" s="367">
        <f>1.9*1.06</f>
        <v>2.014</v>
      </c>
      <c r="G270" s="368"/>
    </row>
    <row r="271" spans="1:7" ht="17.25" customHeight="1">
      <c r="A271" s="342" t="s">
        <v>567</v>
      </c>
      <c r="B271" s="353" t="s">
        <v>554</v>
      </c>
      <c r="C271" s="342" t="s">
        <v>54</v>
      </c>
      <c r="D271" s="365">
        <f>4.81*1.06</f>
        <v>5.0986</v>
      </c>
      <c r="E271" s="366"/>
      <c r="F271" s="367">
        <f>3.57*1.06</f>
        <v>3.7842000000000002</v>
      </c>
      <c r="G271" s="368"/>
    </row>
    <row r="272" spans="1:7" ht="12.75">
      <c r="A272" s="349" t="s">
        <v>568</v>
      </c>
      <c r="B272" s="350" t="s">
        <v>569</v>
      </c>
      <c r="C272" s="342"/>
      <c r="D272" s="365"/>
      <c r="E272" s="365"/>
      <c r="F272" s="367"/>
      <c r="G272" s="368"/>
    </row>
    <row r="273" spans="1:7" ht="18" customHeight="1">
      <c r="A273" s="342" t="s">
        <v>570</v>
      </c>
      <c r="B273" s="353" t="s">
        <v>545</v>
      </c>
      <c r="C273" s="342" t="s">
        <v>54</v>
      </c>
      <c r="D273" s="365">
        <f>3.97*1.06</f>
        <v>4.208200000000001</v>
      </c>
      <c r="E273" s="366"/>
      <c r="F273" s="367">
        <f>2.33*1.06</f>
        <v>2.4698</v>
      </c>
      <c r="G273" s="368"/>
    </row>
    <row r="274" spans="1:7" ht="18.75" customHeight="1">
      <c r="A274" s="342" t="s">
        <v>571</v>
      </c>
      <c r="B274" s="353" t="s">
        <v>554</v>
      </c>
      <c r="C274" s="342" t="s">
        <v>54</v>
      </c>
      <c r="D274" s="365">
        <f>6.66*1.06</f>
        <v>7.0596000000000005</v>
      </c>
      <c r="E274" s="366"/>
      <c r="F274" s="367">
        <f>5.33*1.06</f>
        <v>5.6498</v>
      </c>
      <c r="G274" s="368"/>
    </row>
    <row r="275" spans="1:7" ht="12.75">
      <c r="A275" s="349" t="s">
        <v>572</v>
      </c>
      <c r="B275" s="350" t="s">
        <v>573</v>
      </c>
      <c r="C275" s="342"/>
      <c r="D275" s="365"/>
      <c r="E275" s="365"/>
      <c r="F275" s="367"/>
      <c r="G275" s="368"/>
    </row>
    <row r="276" spans="1:7" ht="27" customHeight="1">
      <c r="A276" s="342" t="s">
        <v>574</v>
      </c>
      <c r="B276" s="353" t="s">
        <v>515</v>
      </c>
      <c r="C276" s="342" t="s">
        <v>54</v>
      </c>
      <c r="D276" s="365">
        <f>2.14*1.06</f>
        <v>2.2684</v>
      </c>
      <c r="E276" s="366"/>
      <c r="F276" s="367">
        <f>1.41*1.06</f>
        <v>1.4946</v>
      </c>
      <c r="G276" s="368"/>
    </row>
    <row r="277" spans="1:7" ht="25.5">
      <c r="A277" s="342" t="s">
        <v>575</v>
      </c>
      <c r="B277" s="353" t="s">
        <v>559</v>
      </c>
      <c r="C277" s="342" t="s">
        <v>54</v>
      </c>
      <c r="D277" s="365">
        <f>3.1*1.06</f>
        <v>3.2860000000000005</v>
      </c>
      <c r="E277" s="366"/>
      <c r="F277" s="367">
        <f>3.1*1.06</f>
        <v>3.2860000000000005</v>
      </c>
      <c r="G277" s="368"/>
    </row>
    <row r="278" spans="1:7" ht="31.5" customHeight="1">
      <c r="A278" s="342" t="s">
        <v>576</v>
      </c>
      <c r="B278" s="353" t="s">
        <v>577</v>
      </c>
      <c r="C278" s="342" t="s">
        <v>54</v>
      </c>
      <c r="D278" s="365">
        <f>3.13*1.06</f>
        <v>3.3178</v>
      </c>
      <c r="E278" s="366"/>
      <c r="F278" s="367">
        <f>1.9*1.05</f>
        <v>1.9949999999999999</v>
      </c>
      <c r="G278" s="368"/>
    </row>
    <row r="279" spans="1:7" ht="25.5">
      <c r="A279" s="349" t="s">
        <v>578</v>
      </c>
      <c r="B279" s="350" t="s">
        <v>579</v>
      </c>
      <c r="C279" s="404"/>
      <c r="D279" s="365"/>
      <c r="E279" s="365"/>
      <c r="F279" s="367"/>
      <c r="G279" s="368"/>
    </row>
    <row r="280" spans="1:7" ht="18" customHeight="1">
      <c r="A280" s="342" t="s">
        <v>580</v>
      </c>
      <c r="B280" s="353" t="s">
        <v>515</v>
      </c>
      <c r="C280" s="342" t="s">
        <v>54</v>
      </c>
      <c r="D280" s="365">
        <f>4.06*1.06</f>
        <v>4.303599999999999</v>
      </c>
      <c r="E280" s="366"/>
      <c r="F280" s="367">
        <f>2.38*1.06</f>
        <v>2.5228</v>
      </c>
      <c r="G280" s="368"/>
    </row>
    <row r="281" spans="1:7" ht="25.5" customHeight="1">
      <c r="A281" s="342" t="s">
        <v>581</v>
      </c>
      <c r="B281" s="353" t="s">
        <v>582</v>
      </c>
      <c r="C281" s="342" t="s">
        <v>54</v>
      </c>
      <c r="D281" s="365">
        <f>6.51*1.06</f>
        <v>6.9006</v>
      </c>
      <c r="E281" s="366"/>
      <c r="F281" s="367">
        <f>4.81*1.06</f>
        <v>5.0986</v>
      </c>
      <c r="G281" s="368"/>
    </row>
    <row r="282" spans="1:7" ht="25.5">
      <c r="A282" s="349" t="s">
        <v>583</v>
      </c>
      <c r="B282" s="350" t="s">
        <v>584</v>
      </c>
      <c r="C282" s="404"/>
      <c r="D282" s="365"/>
      <c r="E282" s="365"/>
      <c r="F282" s="367"/>
      <c r="G282" s="368"/>
    </row>
    <row r="283" spans="1:7" s="361" customFormat="1" ht="15" customHeight="1">
      <c r="A283" s="342" t="s">
        <v>585</v>
      </c>
      <c r="B283" s="353" t="s">
        <v>515</v>
      </c>
      <c r="C283" s="342" t="s">
        <v>54</v>
      </c>
      <c r="D283" s="365">
        <f>2.38*1.06</f>
        <v>2.5228</v>
      </c>
      <c r="E283" s="366"/>
      <c r="F283" s="367">
        <f>1.69*1.06</f>
        <v>1.7914</v>
      </c>
      <c r="G283" s="368"/>
    </row>
    <row r="284" spans="1:7" ht="27.75" customHeight="1">
      <c r="A284" s="342" t="s">
        <v>586</v>
      </c>
      <c r="B284" s="353" t="s">
        <v>587</v>
      </c>
      <c r="C284" s="342" t="s">
        <v>54</v>
      </c>
      <c r="D284" s="365">
        <f>5.33*1.06</f>
        <v>5.6498</v>
      </c>
      <c r="E284" s="366"/>
      <c r="F284" s="367">
        <f>4.01*1.06</f>
        <v>4.2506</v>
      </c>
      <c r="G284" s="368"/>
    </row>
    <row r="285" spans="1:7" ht="12.75">
      <c r="A285" s="349" t="s">
        <v>592</v>
      </c>
      <c r="B285" s="350" t="s">
        <v>593</v>
      </c>
      <c r="C285" s="404"/>
      <c r="D285" s="365"/>
      <c r="E285" s="365"/>
      <c r="F285" s="367"/>
      <c r="G285" s="368"/>
    </row>
    <row r="286" spans="1:7" ht="36.75" customHeight="1">
      <c r="A286" s="342" t="s">
        <v>594</v>
      </c>
      <c r="B286" s="353" t="s">
        <v>515</v>
      </c>
      <c r="C286" s="342" t="s">
        <v>54</v>
      </c>
      <c r="D286" s="365">
        <f>2.85*1.06</f>
        <v>3.0210000000000004</v>
      </c>
      <c r="E286" s="366"/>
      <c r="F286" s="367">
        <f>1.9*1.06</f>
        <v>2.014</v>
      </c>
      <c r="G286" s="368"/>
    </row>
    <row r="287" spans="1:7" ht="21.75" customHeight="1">
      <c r="A287" s="342" t="s">
        <v>595</v>
      </c>
      <c r="B287" s="353" t="s">
        <v>587</v>
      </c>
      <c r="C287" s="342" t="s">
        <v>54</v>
      </c>
      <c r="D287" s="365">
        <f>4.76*1.06</f>
        <v>5.0456</v>
      </c>
      <c r="E287" s="366"/>
      <c r="F287" s="367">
        <f>3.26*1.06</f>
        <v>3.4556</v>
      </c>
      <c r="G287" s="368"/>
    </row>
    <row r="288" spans="1:7" ht="27.75" customHeight="1">
      <c r="A288" s="342" t="str">
        <f>'[1]сравнительная таблица'!B294</f>
        <v>6.3.1.47.</v>
      </c>
      <c r="B288" s="353" t="str">
        <f>'[1]сравнительная таблица'!C294</f>
        <v>определение БГКП в почве</v>
      </c>
      <c r="C288" s="342" t="s">
        <v>54</v>
      </c>
      <c r="D288" s="365">
        <f>7.19*1.06</f>
        <v>7.6214</v>
      </c>
      <c r="E288" s="366"/>
      <c r="F288" s="367">
        <f>4.66*1.06</f>
        <v>4.9396</v>
      </c>
      <c r="G288" s="368"/>
    </row>
    <row r="289" spans="1:7" ht="16.5" customHeight="1">
      <c r="A289" s="342" t="str">
        <f>'[1]сравнительная таблица'!B295</f>
        <v>6.3.1.48.</v>
      </c>
      <c r="B289" s="353" t="str">
        <f>'[1]сравнительная таблица'!C295</f>
        <v>определение общего микробного числа (далее - ОМЧ) в почве</v>
      </c>
      <c r="C289" s="342" t="s">
        <v>54</v>
      </c>
      <c r="D289" s="365">
        <f>3.53*1.06</f>
        <v>3.7418</v>
      </c>
      <c r="E289" s="366"/>
      <c r="F289" s="367">
        <f>2.14*1.06</f>
        <v>2.2684</v>
      </c>
      <c r="G289" s="368"/>
    </row>
    <row r="290" spans="1:7" ht="17.25" customHeight="1">
      <c r="A290" s="342" t="str">
        <f>'[1]сравнительная таблица'!B296</f>
        <v>6.3.1.49.</v>
      </c>
      <c r="B290" s="353" t="str">
        <f>'[1]сравнительная таблица'!C296</f>
        <v>определение количества энтерококков в почве</v>
      </c>
      <c r="C290" s="342" t="s">
        <v>54</v>
      </c>
      <c r="D290" s="367">
        <f>4.76*1.06</f>
        <v>5.0456</v>
      </c>
      <c r="E290" s="366"/>
      <c r="F290" s="367">
        <f>2.85*1.06</f>
        <v>3.0210000000000004</v>
      </c>
      <c r="G290" s="368"/>
    </row>
    <row r="291" spans="1:7" ht="18.75" customHeight="1">
      <c r="A291" s="376" t="str">
        <f>'[1]сравнительная таблица'!B297</f>
        <v>6.3.1.50.</v>
      </c>
      <c r="B291" s="393" t="str">
        <f>'[1]сравнительная таблица'!C297</f>
        <v>определение C.perfringens в почве:</v>
      </c>
      <c r="C291" s="376"/>
      <c r="D291" s="365"/>
      <c r="E291" s="377"/>
      <c r="F291" s="365"/>
      <c r="G291" s="427"/>
    </row>
    <row r="292" spans="1:7" ht="27.75" customHeight="1">
      <c r="A292" s="342" t="str">
        <f>'[1]сравнительная таблица'!B298</f>
        <v>6.3.1.50.1.</v>
      </c>
      <c r="B292" s="353" t="str">
        <f>'[1]сравнительная таблица'!C298</f>
        <v>при отсутствии роста микроорганизмов</v>
      </c>
      <c r="C292" s="342" t="s">
        <v>54</v>
      </c>
      <c r="D292" s="365">
        <f>2.07*1.06</f>
        <v>2.1942</v>
      </c>
      <c r="E292" s="366"/>
      <c r="F292" s="367">
        <f>1.41*1.06</f>
        <v>1.4946</v>
      </c>
      <c r="G292" s="368"/>
    </row>
    <row r="293" spans="1:7" s="361" customFormat="1" ht="27.75" customHeight="1">
      <c r="A293" s="342" t="str">
        <f>'[1]сравнительная таблица'!B299</f>
        <v>6.3.1.50.2.</v>
      </c>
      <c r="B293" s="353" t="str">
        <f>'[1]сравнительная таблица'!C299</f>
        <v>при выделении микроорганизмов с изучением морфологических свойств и идентификацией до вида</v>
      </c>
      <c r="C293" s="342" t="s">
        <v>54</v>
      </c>
      <c r="D293" s="367">
        <f>5.61*1.06</f>
        <v>5.946600000000001</v>
      </c>
      <c r="E293" s="366"/>
      <c r="F293" s="367">
        <f>5.61*1.06</f>
        <v>5.946600000000001</v>
      </c>
      <c r="G293" s="368"/>
    </row>
    <row r="294" spans="1:7" ht="34.5" customHeight="1">
      <c r="A294" s="376" t="str">
        <f>'[1]сравнительная таблица'!B300</f>
        <v>6.3.1.51.</v>
      </c>
      <c r="B294" s="393" t="str">
        <f>'[1]сравнительная таблица'!C300</f>
        <v>определение наличия патогенных микроорганизмов, в том числе сальмонелл в почве:</v>
      </c>
      <c r="C294" s="376"/>
      <c r="D294" s="365"/>
      <c r="E294" s="366"/>
      <c r="F294" s="367"/>
      <c r="G294" s="368"/>
    </row>
    <row r="295" spans="1:7" ht="20.25" customHeight="1">
      <c r="A295" s="342" t="str">
        <f>'[1]сравнительная таблица'!B301</f>
        <v>6.3.1.51.1.</v>
      </c>
      <c r="B295" s="342" t="str">
        <f>'[1]сравнительная таблица'!C301</f>
        <v>при отсутствии роста микроорганизмов</v>
      </c>
      <c r="C295" s="342" t="s">
        <v>54</v>
      </c>
      <c r="D295" s="365">
        <f>3.53*1.06</f>
        <v>3.7418</v>
      </c>
      <c r="E295" s="366"/>
      <c r="F295" s="367">
        <f>2.14*1.06</f>
        <v>2.2684</v>
      </c>
      <c r="G295" s="368"/>
    </row>
    <row r="296" spans="1:7" ht="21" customHeight="1">
      <c r="A296" s="342" t="s">
        <v>1046</v>
      </c>
      <c r="B296" s="342" t="s">
        <v>1142</v>
      </c>
      <c r="C296" s="342" t="s">
        <v>54</v>
      </c>
      <c r="D296" s="365">
        <f>5.97*1.06</f>
        <v>6.3282</v>
      </c>
      <c r="E296" s="366"/>
      <c r="F296" s="367">
        <f>5.97*1.06</f>
        <v>6.3282</v>
      </c>
      <c r="G296" s="368"/>
    </row>
    <row r="297" spans="1:7" ht="18" customHeight="1">
      <c r="A297" s="342" t="s">
        <v>598</v>
      </c>
      <c r="B297" s="353" t="s">
        <v>599</v>
      </c>
      <c r="C297" s="342" t="s">
        <v>54</v>
      </c>
      <c r="D297" s="365">
        <f>2.98*1.06</f>
        <v>3.1588000000000003</v>
      </c>
      <c r="E297" s="366"/>
      <c r="F297" s="367">
        <f>2.98*1.06</f>
        <v>3.1588000000000003</v>
      </c>
      <c r="G297" s="368"/>
    </row>
    <row r="298" spans="1:7" s="361" customFormat="1" ht="25.5">
      <c r="A298" s="342" t="s">
        <v>600</v>
      </c>
      <c r="B298" s="353" t="s">
        <v>601</v>
      </c>
      <c r="C298" s="342" t="s">
        <v>54</v>
      </c>
      <c r="D298" s="365">
        <f>2.87*1.06</f>
        <v>3.0422000000000002</v>
      </c>
      <c r="E298" s="366"/>
      <c r="F298" s="367">
        <f>2.87*1.06</f>
        <v>3.0422000000000002</v>
      </c>
      <c r="G298" s="368"/>
    </row>
    <row r="299" spans="1:7" ht="25.5">
      <c r="A299" s="342" t="s">
        <v>602</v>
      </c>
      <c r="B299" s="353" t="s">
        <v>603</v>
      </c>
      <c r="C299" s="342" t="s">
        <v>54</v>
      </c>
      <c r="D299" s="365">
        <f>3.53*1.06</f>
        <v>3.7418</v>
      </c>
      <c r="E299" s="366"/>
      <c r="F299" s="367">
        <f>3.53*1.06</f>
        <v>3.7418</v>
      </c>
      <c r="G299" s="368"/>
    </row>
    <row r="300" spans="1:7" ht="25.5">
      <c r="A300" s="342" t="str">
        <f>'[1]сравнительная таблица'!B306</f>
        <v>6.3.1.61.</v>
      </c>
      <c r="B300" s="353" t="str">
        <f>'[1]сравнительная таблица'!C306</f>
        <v>определение микробиологической чистоты дезинфекционных и антисептических средств</v>
      </c>
      <c r="C300" s="342" t="s">
        <v>54</v>
      </c>
      <c r="D300" s="365">
        <f>13.1*1.06</f>
        <v>13.886000000000001</v>
      </c>
      <c r="E300" s="366"/>
      <c r="F300" s="367">
        <f>7.86*1.06</f>
        <v>8.3316</v>
      </c>
      <c r="G300" s="368"/>
    </row>
    <row r="301" spans="1:7" ht="25.5">
      <c r="A301" s="342" t="str">
        <f>'[1]сравнительная таблица'!B307</f>
        <v>6.3.1.75.</v>
      </c>
      <c r="B301" s="353" t="str">
        <f>'[1]сравнительная таблица'!C307</f>
        <v>контроль работы паровых и воздушных стерилизаторов бактериологическим методом</v>
      </c>
      <c r="C301" s="342" t="s">
        <v>54</v>
      </c>
      <c r="D301" s="365">
        <f>1.7*1.06</f>
        <v>1.802</v>
      </c>
      <c r="E301" s="366"/>
      <c r="F301" s="367">
        <f>1.7*1.06</f>
        <v>1.802</v>
      </c>
      <c r="G301" s="368"/>
    </row>
    <row r="302" spans="1:7" ht="27" customHeight="1">
      <c r="A302" s="342" t="s">
        <v>1143</v>
      </c>
      <c r="B302" s="353" t="s">
        <v>1144</v>
      </c>
      <c r="C302" s="342" t="s">
        <v>54</v>
      </c>
      <c r="D302" s="365">
        <f>2.59*1.06</f>
        <v>2.7454</v>
      </c>
      <c r="E302" s="366"/>
      <c r="F302" s="367">
        <f>2.59*1.06</f>
        <v>2.7454</v>
      </c>
      <c r="G302" s="368"/>
    </row>
    <row r="303" spans="1:7" ht="27" customHeight="1">
      <c r="A303" s="342" t="s">
        <v>1166</v>
      </c>
      <c r="B303" s="353" t="s">
        <v>1167</v>
      </c>
      <c r="C303" s="342" t="s">
        <v>54</v>
      </c>
      <c r="D303" s="365">
        <f>20.24*1.06</f>
        <v>21.4544</v>
      </c>
      <c r="E303" s="366"/>
      <c r="F303" s="367"/>
      <c r="G303" s="368"/>
    </row>
    <row r="304" spans="1:7" ht="28.5" customHeight="1">
      <c r="A304" s="349" t="s">
        <v>44</v>
      </c>
      <c r="B304" s="350" t="s">
        <v>616</v>
      </c>
      <c r="C304" s="404"/>
      <c r="D304" s="365"/>
      <c r="E304" s="365"/>
      <c r="F304" s="367"/>
      <c r="G304" s="368"/>
    </row>
    <row r="305" spans="1:7" ht="28.5" customHeight="1">
      <c r="A305" s="349" t="s">
        <v>617</v>
      </c>
      <c r="B305" s="350" t="s">
        <v>618</v>
      </c>
      <c r="C305" s="404"/>
      <c r="D305" s="365"/>
      <c r="E305" s="365"/>
      <c r="F305" s="367"/>
      <c r="G305" s="368"/>
    </row>
    <row r="306" spans="1:7" ht="31.5" customHeight="1">
      <c r="A306" s="349" t="s">
        <v>619</v>
      </c>
      <c r="B306" s="350" t="s">
        <v>620</v>
      </c>
      <c r="C306" s="404"/>
      <c r="D306" s="365"/>
      <c r="E306" s="365"/>
      <c r="F306" s="367"/>
      <c r="G306" s="368"/>
    </row>
    <row r="307" spans="1:7" ht="25.5">
      <c r="A307" s="342" t="s">
        <v>621</v>
      </c>
      <c r="B307" s="353" t="s">
        <v>622</v>
      </c>
      <c r="C307" s="418" t="s">
        <v>54</v>
      </c>
      <c r="D307" s="365">
        <f>0.89*1.06</f>
        <v>0.9434</v>
      </c>
      <c r="E307" s="366"/>
      <c r="F307" s="367">
        <f>0.89*1.06</f>
        <v>0.9434</v>
      </c>
      <c r="G307" s="368"/>
    </row>
    <row r="308" spans="1:7" ht="25.5">
      <c r="A308" s="376" t="s">
        <v>703</v>
      </c>
      <c r="B308" s="393" t="s">
        <v>642</v>
      </c>
      <c r="C308" s="404"/>
      <c r="D308" s="365"/>
      <c r="E308" s="365"/>
      <c r="F308" s="367"/>
      <c r="G308" s="368"/>
    </row>
    <row r="309" spans="1:7" ht="12.75">
      <c r="A309" s="342" t="s">
        <v>623</v>
      </c>
      <c r="B309" s="353" t="s">
        <v>624</v>
      </c>
      <c r="C309" s="404" t="s">
        <v>54</v>
      </c>
      <c r="D309" s="365">
        <f>0.89*1.06</f>
        <v>0.9434</v>
      </c>
      <c r="E309" s="366"/>
      <c r="F309" s="367">
        <f>0.89*1.06</f>
        <v>0.9434</v>
      </c>
      <c r="G309" s="368"/>
    </row>
    <row r="310" spans="1:7" ht="12.75">
      <c r="A310" s="342" t="s">
        <v>625</v>
      </c>
      <c r="B310" s="353" t="s">
        <v>626</v>
      </c>
      <c r="C310" s="404" t="s">
        <v>54</v>
      </c>
      <c r="D310" s="365">
        <f>0.89*1.06</f>
        <v>0.9434</v>
      </c>
      <c r="E310" s="366"/>
      <c r="F310" s="367">
        <f>0.89*1.06</f>
        <v>0.9434</v>
      </c>
      <c r="G310" s="368"/>
    </row>
    <row r="311" spans="1:7" ht="25.5">
      <c r="A311" s="349" t="s">
        <v>627</v>
      </c>
      <c r="B311" s="350" t="s">
        <v>628</v>
      </c>
      <c r="C311" s="404"/>
      <c r="D311" s="365"/>
      <c r="E311" s="365"/>
      <c r="F311" s="367"/>
      <c r="G311" s="368"/>
    </row>
    <row r="312" spans="1:7" ht="18.75" customHeight="1">
      <c r="A312" s="349" t="s">
        <v>629</v>
      </c>
      <c r="B312" s="350" t="s">
        <v>630</v>
      </c>
      <c r="C312" s="404"/>
      <c r="D312" s="365"/>
      <c r="E312" s="365"/>
      <c r="F312" s="367"/>
      <c r="G312" s="368"/>
    </row>
    <row r="313" spans="1:7" ht="19.5" customHeight="1">
      <c r="A313" s="342" t="s">
        <v>631</v>
      </c>
      <c r="B313" s="353" t="s">
        <v>545</v>
      </c>
      <c r="C313" s="404" t="s">
        <v>54</v>
      </c>
      <c r="D313" s="365">
        <f>2.85*1.06</f>
        <v>3.0210000000000004</v>
      </c>
      <c r="E313" s="366"/>
      <c r="F313" s="367">
        <f>2.85*1.06</f>
        <v>3.0210000000000004</v>
      </c>
      <c r="G313" s="368"/>
    </row>
    <row r="314" spans="1:7" ht="25.5">
      <c r="A314" s="342" t="s">
        <v>632</v>
      </c>
      <c r="B314" s="353" t="s">
        <v>559</v>
      </c>
      <c r="C314" s="404" t="s">
        <v>54</v>
      </c>
      <c r="D314" s="365">
        <f>4.31*1.06</f>
        <v>4.5686</v>
      </c>
      <c r="E314" s="366"/>
      <c r="F314" s="367">
        <f>4.19*1.06</f>
        <v>4.441400000000001</v>
      </c>
      <c r="G314" s="368"/>
    </row>
    <row r="315" spans="1:7" ht="21" customHeight="1">
      <c r="A315" s="349" t="s">
        <v>633</v>
      </c>
      <c r="B315" s="350" t="s">
        <v>634</v>
      </c>
      <c r="C315" s="404"/>
      <c r="D315" s="365"/>
      <c r="E315" s="365"/>
      <c r="F315" s="367"/>
      <c r="G315" s="368"/>
    </row>
    <row r="316" spans="1:7" ht="27.75" customHeight="1">
      <c r="A316" s="342" t="s">
        <v>635</v>
      </c>
      <c r="B316" s="353" t="s">
        <v>636</v>
      </c>
      <c r="C316" s="404" t="s">
        <v>54</v>
      </c>
      <c r="D316" s="365">
        <f>7.1*1.06</f>
        <v>7.526</v>
      </c>
      <c r="E316" s="366"/>
      <c r="F316" s="367">
        <f>7.1*1.06</f>
        <v>7.526</v>
      </c>
      <c r="G316" s="423">
        <v>0</v>
      </c>
    </row>
    <row r="317" spans="1:7" ht="27.75" customHeight="1">
      <c r="A317" s="376" t="s">
        <v>637</v>
      </c>
      <c r="B317" s="393" t="s">
        <v>638</v>
      </c>
      <c r="C317" s="404"/>
      <c r="D317" s="365"/>
      <c r="E317" s="365"/>
      <c r="F317" s="367"/>
      <c r="G317" s="368"/>
    </row>
    <row r="318" spans="1:7" ht="25.5">
      <c r="A318" s="342" t="s">
        <v>639</v>
      </c>
      <c r="B318" s="353" t="s">
        <v>640</v>
      </c>
      <c r="C318" s="404" t="s">
        <v>54</v>
      </c>
      <c r="D318" s="365">
        <f>3.53*1.06</f>
        <v>3.7418</v>
      </c>
      <c r="E318" s="366"/>
      <c r="F318" s="367">
        <f>3.53*1.06</f>
        <v>3.7418</v>
      </c>
      <c r="G318" s="368"/>
    </row>
    <row r="319" spans="1:7" ht="25.5">
      <c r="A319" s="349" t="s">
        <v>641</v>
      </c>
      <c r="B319" s="350" t="s">
        <v>642</v>
      </c>
      <c r="C319" s="404"/>
      <c r="D319" s="365"/>
      <c r="E319" s="365"/>
      <c r="F319" s="367"/>
      <c r="G319" s="368"/>
    </row>
    <row r="320" spans="1:7" ht="15" customHeight="1">
      <c r="A320" s="342" t="s">
        <v>643</v>
      </c>
      <c r="B320" s="353" t="s">
        <v>644</v>
      </c>
      <c r="C320" s="404" t="s">
        <v>54</v>
      </c>
      <c r="D320" s="365">
        <f>1.63*1.06</f>
        <v>1.7278</v>
      </c>
      <c r="E320" s="366"/>
      <c r="F320" s="367">
        <f>1.63*1.06</f>
        <v>1.7278</v>
      </c>
      <c r="G320" s="368"/>
    </row>
    <row r="321" spans="1:7" ht="14.25" customHeight="1">
      <c r="A321" s="342" t="s">
        <v>645</v>
      </c>
      <c r="B321" s="353" t="s">
        <v>626</v>
      </c>
      <c r="C321" s="404" t="s">
        <v>54</v>
      </c>
      <c r="D321" s="365">
        <f>1.63*1.06</f>
        <v>1.7278</v>
      </c>
      <c r="E321" s="366"/>
      <c r="F321" s="367">
        <f>1.63*1.06</f>
        <v>1.7278</v>
      </c>
      <c r="G321" s="368"/>
    </row>
    <row r="322" spans="1:7" ht="15.75" customHeight="1">
      <c r="A322" s="349" t="s">
        <v>646</v>
      </c>
      <c r="B322" s="350" t="s">
        <v>634</v>
      </c>
      <c r="C322" s="404"/>
      <c r="D322" s="365"/>
      <c r="E322" s="365"/>
      <c r="F322" s="367"/>
      <c r="G322" s="368"/>
    </row>
    <row r="323" spans="1:7" ht="32.25" customHeight="1">
      <c r="A323" s="342" t="s">
        <v>647</v>
      </c>
      <c r="B323" s="353" t="s">
        <v>636</v>
      </c>
      <c r="C323" s="404" t="s">
        <v>54</v>
      </c>
      <c r="D323" s="365">
        <f>8.4*1.06</f>
        <v>8.904000000000002</v>
      </c>
      <c r="E323" s="366"/>
      <c r="F323" s="367">
        <f>8.4*1.06</f>
        <v>8.904000000000002</v>
      </c>
      <c r="G323" s="368"/>
    </row>
    <row r="324" spans="1:7" ht="38.25">
      <c r="A324" s="349" t="s">
        <v>648</v>
      </c>
      <c r="B324" s="350" t="s">
        <v>649</v>
      </c>
      <c r="C324" s="404"/>
      <c r="D324" s="365"/>
      <c r="E324" s="365"/>
      <c r="F324" s="367"/>
      <c r="G324" s="368"/>
    </row>
    <row r="325" spans="1:7" ht="38.25">
      <c r="A325" s="419" t="s">
        <v>650</v>
      </c>
      <c r="B325" s="420" t="s">
        <v>651</v>
      </c>
      <c r="C325" s="395" t="s">
        <v>54</v>
      </c>
      <c r="D325" s="396">
        <f>1.63*1.06</f>
        <v>1.7278</v>
      </c>
      <c r="E325" s="395"/>
      <c r="F325" s="397">
        <f>1.63*1.06</f>
        <v>1.7278</v>
      </c>
      <c r="G325" s="368"/>
    </row>
    <row r="326" spans="1:7" ht="25.5">
      <c r="A326" s="419" t="s">
        <v>652</v>
      </c>
      <c r="B326" s="420" t="s">
        <v>559</v>
      </c>
      <c r="C326" s="418" t="s">
        <v>54</v>
      </c>
      <c r="D326" s="396">
        <f>1.63*1.06</f>
        <v>1.7278</v>
      </c>
      <c r="E326" s="395"/>
      <c r="F326" s="397">
        <f>1.63*1.06</f>
        <v>1.7278</v>
      </c>
      <c r="G326" s="368"/>
    </row>
    <row r="327" spans="1:7" ht="20.25" customHeight="1">
      <c r="A327" s="349" t="s">
        <v>653</v>
      </c>
      <c r="B327" s="350" t="s">
        <v>634</v>
      </c>
      <c r="C327" s="404"/>
      <c r="D327" s="365"/>
      <c r="E327" s="365"/>
      <c r="F327" s="367"/>
      <c r="G327" s="368"/>
    </row>
    <row r="328" spans="1:7" s="361" customFormat="1" ht="41.25" customHeight="1">
      <c r="A328" s="342" t="s">
        <v>654</v>
      </c>
      <c r="B328" s="353" t="s">
        <v>636</v>
      </c>
      <c r="C328" s="395" t="s">
        <v>54</v>
      </c>
      <c r="D328" s="396">
        <f>1.63*1.06</f>
        <v>1.7278</v>
      </c>
      <c r="E328" s="395"/>
      <c r="F328" s="397">
        <f>1.63*1.06</f>
        <v>1.7278</v>
      </c>
      <c r="G328" s="398"/>
    </row>
    <row r="329" spans="1:7" ht="24" customHeight="1">
      <c r="A329" s="376" t="str">
        <f>'[1]сравнительная таблица'!B334</f>
        <v>6.5.1.7.</v>
      </c>
      <c r="B329" s="393" t="str">
        <f>'[1]сравнительная таблица'!C334</f>
        <v>исследования на аэробные и факультативно-анаэробные микроорганизмы в гное, отделяемом ран, дренажей, абсцессов, в транссудатах, экссудатах:</v>
      </c>
      <c r="C329" s="428"/>
      <c r="D329" s="396"/>
      <c r="E329" s="428"/>
      <c r="F329" s="396"/>
      <c r="G329" s="398"/>
    </row>
    <row r="330" spans="1:7" ht="27" customHeight="1">
      <c r="A330" s="342" t="str">
        <f>'[1]сравнительная таблица'!B335</f>
        <v>6.5.1.7.1.</v>
      </c>
      <c r="B330" s="353" t="str">
        <f>'[1]сравнительная таблица'!C335</f>
        <v>культуральное исследование при отсутствии микроорганизмов </v>
      </c>
      <c r="C330" s="395" t="s">
        <v>54</v>
      </c>
      <c r="D330" s="397">
        <f>1.63*1.06</f>
        <v>1.7278</v>
      </c>
      <c r="E330" s="395"/>
      <c r="F330" s="397">
        <f>1.63*1.06</f>
        <v>1.7278</v>
      </c>
      <c r="G330" s="398"/>
    </row>
    <row r="331" spans="1:7" ht="15" customHeight="1">
      <c r="A331" s="342" t="str">
        <f>'[1]сравнительная таблица'!B336</f>
        <v>6.5.1.7.2.</v>
      </c>
      <c r="B331" s="342" t="str">
        <f>'[1]сравнительная таблица'!C336</f>
        <v>при выделении микроорганизмов с изучением морфологических свойств</v>
      </c>
      <c r="C331" s="395" t="s">
        <v>54</v>
      </c>
      <c r="D331" s="397">
        <f>1.63*1.06</f>
        <v>1.7278</v>
      </c>
      <c r="E331" s="395"/>
      <c r="F331" s="397">
        <f>1.63*1.06</f>
        <v>1.7278</v>
      </c>
      <c r="G331" s="398"/>
    </row>
    <row r="332" spans="1:7" ht="15.75" customHeight="1">
      <c r="A332" s="376" t="str">
        <f>'[1]сравнительная таблица'!B337</f>
        <v>6.5.1.7.3.</v>
      </c>
      <c r="B332" s="393" t="str">
        <f>'[1]сравнительная таблица'!C337</f>
        <v>исследование с идентификацией до вида:</v>
      </c>
      <c r="C332" s="428"/>
      <c r="D332" s="396"/>
      <c r="E332" s="428"/>
      <c r="F332" s="396"/>
      <c r="G332" s="398"/>
    </row>
    <row r="333" spans="1:7" ht="28.5" customHeight="1">
      <c r="A333" s="342" t="str">
        <f>'[1]сравнительная таблица'!B338</f>
        <v>6.5.1.7.3.1.</v>
      </c>
      <c r="B333" s="342" t="str">
        <f>'[1]сравнительная таблица'!C338</f>
        <v>классическим методом</v>
      </c>
      <c r="C333" s="395" t="s">
        <v>54</v>
      </c>
      <c r="D333" s="396">
        <f>1.63*1.06</f>
        <v>1.7278</v>
      </c>
      <c r="E333" s="395"/>
      <c r="F333" s="397">
        <f>1.63*1.06</f>
        <v>1.7278</v>
      </c>
      <c r="G333" s="398"/>
    </row>
    <row r="334" spans="1:7" ht="15.75" customHeight="1">
      <c r="A334" s="376" t="str">
        <f>'[1]сравнительная таблица'!B339</f>
        <v>6.5.1.9.</v>
      </c>
      <c r="B334" s="393" t="str">
        <f>'[1]сравнительная таблица'!C339</f>
        <v>исследование на аэробные и факультативно-анаэробные микроорганизмы в желчи:</v>
      </c>
      <c r="C334" s="395"/>
      <c r="D334" s="396"/>
      <c r="E334" s="395"/>
      <c r="F334" s="397"/>
      <c r="G334" s="398"/>
    </row>
    <row r="335" spans="1:7" ht="15.75" customHeight="1">
      <c r="A335" s="342" t="str">
        <f>'[1]сравнительная таблица'!B340</f>
        <v>6.5.1.9.1.</v>
      </c>
      <c r="B335" s="353" t="str">
        <f>'[1]сравнительная таблица'!C340</f>
        <v>культуральное исследование при отсутствии микроорганизмов </v>
      </c>
      <c r="C335" s="395" t="s">
        <v>54</v>
      </c>
      <c r="D335" s="396">
        <f>0.65*1.06</f>
        <v>0.6890000000000001</v>
      </c>
      <c r="E335" s="395"/>
      <c r="F335" s="397">
        <f>0.65*1.06</f>
        <v>0.6890000000000001</v>
      </c>
      <c r="G335" s="398"/>
    </row>
    <row r="336" spans="1:7" ht="15.75" customHeight="1">
      <c r="A336" s="342" t="str">
        <f>'[1]сравнительная таблица'!B341</f>
        <v>6.5.1.9.2.</v>
      </c>
      <c r="B336" s="342" t="str">
        <f>'[1]сравнительная таблица'!C341</f>
        <v>при выделении микроорганизмов с изучением морфологических свойств</v>
      </c>
      <c r="C336" s="395" t="s">
        <v>54</v>
      </c>
      <c r="D336" s="397">
        <f>0.65*1.06</f>
        <v>0.6890000000000001</v>
      </c>
      <c r="E336" s="395"/>
      <c r="F336" s="397">
        <f>0.65*1.06</f>
        <v>0.6890000000000001</v>
      </c>
      <c r="G336" s="398"/>
    </row>
    <row r="337" spans="1:7" ht="15.75" customHeight="1">
      <c r="A337" s="376" t="str">
        <f>'[1]сравнительная таблица'!B342</f>
        <v>6.5.1.9.3.</v>
      </c>
      <c r="B337" s="393" t="str">
        <f>'[1]сравнительная таблица'!C342</f>
        <v>исследование с идентификацией до вида:</v>
      </c>
      <c r="C337" s="428"/>
      <c r="D337" s="396"/>
      <c r="E337" s="428"/>
      <c r="F337" s="396"/>
      <c r="G337" s="398"/>
    </row>
    <row r="338" spans="1:7" ht="39.75" customHeight="1">
      <c r="A338" s="342" t="str">
        <f>'[1]сравнительная таблица'!B343</f>
        <v>6.5.1.9.3.1.</v>
      </c>
      <c r="B338" s="353" t="str">
        <f>'[1]сравнительная таблица'!C343</f>
        <v>классическим методом</v>
      </c>
      <c r="C338" s="395" t="s">
        <v>54</v>
      </c>
      <c r="D338" s="397">
        <f>0.65*1.06</f>
        <v>0.6890000000000001</v>
      </c>
      <c r="E338" s="395"/>
      <c r="F338" s="397">
        <f>0.65*1.06</f>
        <v>0.6890000000000001</v>
      </c>
      <c r="G338" s="398"/>
    </row>
    <row r="339" spans="1:7" ht="27.75" customHeight="1">
      <c r="A339" s="376" t="str">
        <f>'[1]сравнительная таблица'!B344</f>
        <v>6.5.1.10.</v>
      </c>
      <c r="B339" s="393" t="str">
        <f>'[1]сравнительная таблица'!C344</f>
        <v>исследования на аэробные и факультативно-анаэробные микроорганизмы в отделяемом урогенитального тракта (уретра, половые органы):</v>
      </c>
      <c r="C339" s="395"/>
      <c r="D339" s="396"/>
      <c r="E339" s="395"/>
      <c r="F339" s="397"/>
      <c r="G339" s="398"/>
    </row>
    <row r="340" spans="1:7" ht="27.75" customHeight="1">
      <c r="A340" s="342" t="str">
        <f>'[1]сравнительная таблица'!B345</f>
        <v>6.5.1.10.1.</v>
      </c>
      <c r="B340" s="353" t="str">
        <f>'[1]сравнительная таблица'!C345</f>
        <v>культуральное исследование при отсутствии микроорганизмов </v>
      </c>
      <c r="C340" s="395" t="s">
        <v>54</v>
      </c>
      <c r="D340" s="396">
        <f>2.78*1.05</f>
        <v>2.919</v>
      </c>
      <c r="E340" s="395"/>
      <c r="F340" s="397">
        <f>2.78*1.05</f>
        <v>2.919</v>
      </c>
      <c r="G340" s="398"/>
    </row>
    <row r="341" spans="1:7" ht="21" customHeight="1">
      <c r="A341" s="342" t="str">
        <f>'[1]сравнительная таблица'!B346</f>
        <v>6.5.1.10.2.</v>
      </c>
      <c r="B341" s="393" t="str">
        <f>'[1]сравнительная таблица'!C346</f>
        <v>при выделении микроорганизмов с изучением морфологических свойств:</v>
      </c>
      <c r="C341" s="428"/>
      <c r="D341" s="396"/>
      <c r="E341" s="428"/>
      <c r="F341" s="396"/>
      <c r="G341" s="429"/>
    </row>
    <row r="342" spans="1:7" ht="18.75" customHeight="1">
      <c r="A342" s="342" t="str">
        <f>'[1]сравнительная таблица'!B347</f>
        <v>6.5.1.10.2.1</v>
      </c>
      <c r="B342" s="353" t="str">
        <f>'[1]сравнительная таблица'!C347</f>
        <v>1-2 культурыв </v>
      </c>
      <c r="C342" s="395" t="s">
        <v>54</v>
      </c>
      <c r="D342" s="396">
        <f>2.78*1.06</f>
        <v>2.9468</v>
      </c>
      <c r="E342" s="395"/>
      <c r="F342" s="397">
        <f>2.78*1.06</f>
        <v>2.9468</v>
      </c>
      <c r="G342" s="398"/>
    </row>
    <row r="343" spans="1:7" ht="14.25" customHeight="1">
      <c r="A343" s="342" t="str">
        <f>'[1]сравнительная таблица'!B348</f>
        <v>6.5.1.10.2.2</v>
      </c>
      <c r="B343" s="353" t="str">
        <f>'[1]сравнительная таблица'!C348</f>
        <v>3 и более культуры</v>
      </c>
      <c r="C343" s="395" t="s">
        <v>54</v>
      </c>
      <c r="D343" s="397">
        <f>2.78*1.06</f>
        <v>2.9468</v>
      </c>
      <c r="E343" s="395"/>
      <c r="F343" s="397">
        <f>2.78*1.06</f>
        <v>2.9468</v>
      </c>
      <c r="G343" s="398"/>
    </row>
    <row r="344" spans="1:7" ht="18.75" customHeight="1">
      <c r="A344" s="376" t="str">
        <f>'[1]сравнительная таблица'!B349</f>
        <v>6.5.1.10.3.</v>
      </c>
      <c r="B344" s="393" t="str">
        <f>'[1]сравнительная таблица'!C349</f>
        <v>исследование с идентификацией до вида:</v>
      </c>
      <c r="C344" s="428"/>
      <c r="D344" s="396"/>
      <c r="E344" s="428"/>
      <c r="F344" s="396"/>
      <c r="G344" s="429"/>
    </row>
    <row r="345" spans="1:7" ht="30" customHeight="1">
      <c r="A345" s="342" t="str">
        <f>'[1]сравнительная таблица'!B350</f>
        <v>6.5.1.10.3.1</v>
      </c>
      <c r="B345" s="353" t="str">
        <f>'[1]сравнительная таблица'!C350</f>
        <v>классическим методом</v>
      </c>
      <c r="C345" s="395" t="s">
        <v>54</v>
      </c>
      <c r="D345" s="396">
        <f>2.78*1.06</f>
        <v>2.9468</v>
      </c>
      <c r="E345" s="395"/>
      <c r="F345" s="397">
        <f>2.78*1.06</f>
        <v>2.9468</v>
      </c>
      <c r="G345" s="398"/>
    </row>
    <row r="346" spans="1:7" ht="26.25" customHeight="1">
      <c r="A346" s="376" t="str">
        <f>'[1]сравнительная таблица'!B351</f>
        <v>6.5.1.11.</v>
      </c>
      <c r="B346" s="393" t="str">
        <f>'[1]сравнительная таблица'!C351</f>
        <v>исследования на аэробные и факультативно-анаэробные микроорганизмы в отделяемом органов чувств (глаз, ухо):</v>
      </c>
      <c r="C346" s="428"/>
      <c r="D346" s="396"/>
      <c r="E346" s="428"/>
      <c r="F346" s="396"/>
      <c r="G346" s="398"/>
    </row>
    <row r="347" spans="1:7" ht="27" customHeight="1">
      <c r="A347" s="342" t="str">
        <f>'[1]сравнительная таблица'!B352</f>
        <v>6.5.1.11.1</v>
      </c>
      <c r="B347" s="353" t="str">
        <f>'[1]сравнительная таблица'!C352</f>
        <v>культуральное исследование при отсутствии микроорганизмов</v>
      </c>
      <c r="C347" s="395" t="s">
        <v>54</v>
      </c>
      <c r="D347" s="396">
        <f>0.78*1.06</f>
        <v>0.8268000000000001</v>
      </c>
      <c r="E347" s="395"/>
      <c r="F347" s="397">
        <f>0.78*1.06</f>
        <v>0.8268000000000001</v>
      </c>
      <c r="G347" s="398"/>
    </row>
    <row r="348" spans="1:7" ht="17.25" customHeight="1">
      <c r="A348" s="342" t="str">
        <f>'[1]сравнительная таблица'!B353</f>
        <v>6.5.1.11.2</v>
      </c>
      <c r="B348" s="353" t="str">
        <f>'[1]сравнительная таблица'!C353</f>
        <v>при выделении микроорганизмов с изучением морфологических свойств</v>
      </c>
      <c r="C348" s="395" t="s">
        <v>54</v>
      </c>
      <c r="D348" s="397">
        <f>0.78*1.06</f>
        <v>0.8268000000000001</v>
      </c>
      <c r="E348" s="395"/>
      <c r="F348" s="397">
        <f>0.78*1.06</f>
        <v>0.8268000000000001</v>
      </c>
      <c r="G348" s="430"/>
    </row>
    <row r="349" spans="1:7" ht="17.25" customHeight="1">
      <c r="A349" s="376" t="str">
        <f>'[1]сравнительная таблица'!B354</f>
        <v>6.5.1.11.3.</v>
      </c>
      <c r="B349" s="393" t="str">
        <f>'[1]сравнительная таблица'!C354</f>
        <v>исследование с идентификацией до вида:</v>
      </c>
      <c r="C349" s="395"/>
      <c r="D349" s="396"/>
      <c r="E349" s="395"/>
      <c r="F349" s="397"/>
      <c r="G349" s="398"/>
    </row>
    <row r="350" spans="1:7" ht="33.75" customHeight="1">
      <c r="A350" s="342" t="s">
        <v>1093</v>
      </c>
      <c r="B350" s="353" t="s">
        <v>636</v>
      </c>
      <c r="C350" s="395" t="s">
        <v>54</v>
      </c>
      <c r="D350" s="397">
        <f>0.78*1.06</f>
        <v>0.8268000000000001</v>
      </c>
      <c r="E350" s="395"/>
      <c r="F350" s="397">
        <f>0.78*1.06</f>
        <v>0.8268000000000001</v>
      </c>
      <c r="G350" s="430"/>
    </row>
    <row r="351" spans="1:7" ht="27.75" customHeight="1">
      <c r="A351" s="376" t="s">
        <v>656</v>
      </c>
      <c r="B351" s="393" t="s">
        <v>657</v>
      </c>
      <c r="C351" s="404"/>
      <c r="D351" s="365"/>
      <c r="E351" s="365"/>
      <c r="F351" s="367"/>
      <c r="G351" s="368"/>
    </row>
    <row r="352" spans="1:7" s="361" customFormat="1" ht="29.25" customHeight="1">
      <c r="A352" s="342" t="s">
        <v>658</v>
      </c>
      <c r="B352" s="353" t="s">
        <v>655</v>
      </c>
      <c r="C352" s="418" t="s">
        <v>54</v>
      </c>
      <c r="D352" s="396">
        <f>0.9*1.06</f>
        <v>0.9540000000000001</v>
      </c>
      <c r="E352" s="395"/>
      <c r="F352" s="397">
        <f>0.9*1.06</f>
        <v>0.9540000000000001</v>
      </c>
      <c r="G352" s="368"/>
    </row>
    <row r="353" spans="1:7" ht="25.5">
      <c r="A353" s="376" t="s">
        <v>659</v>
      </c>
      <c r="B353" s="393" t="s">
        <v>642</v>
      </c>
      <c r="C353" s="404"/>
      <c r="D353" s="365"/>
      <c r="E353" s="365"/>
      <c r="F353" s="367"/>
      <c r="G353" s="368"/>
    </row>
    <row r="354" spans="1:7" s="361" customFormat="1" ht="21" customHeight="1">
      <c r="A354" s="342" t="s">
        <v>660</v>
      </c>
      <c r="B354" s="353" t="s">
        <v>624</v>
      </c>
      <c r="C354" s="404" t="s">
        <v>54</v>
      </c>
      <c r="D354" s="365">
        <f>0.9*1.06</f>
        <v>0.9540000000000001</v>
      </c>
      <c r="E354" s="366"/>
      <c r="F354" s="367">
        <f>0.9*1.06</f>
        <v>0.9540000000000001</v>
      </c>
      <c r="G354" s="368"/>
    </row>
    <row r="355" spans="1:7" ht="17.25" customHeight="1">
      <c r="A355" s="342" t="s">
        <v>661</v>
      </c>
      <c r="B355" s="353" t="s">
        <v>626</v>
      </c>
      <c r="C355" s="404" t="s">
        <v>54</v>
      </c>
      <c r="D355" s="365">
        <f>0.9*1.06</f>
        <v>0.9540000000000001</v>
      </c>
      <c r="E355" s="366"/>
      <c r="F355" s="367">
        <f>0.9*1.06</f>
        <v>0.9540000000000001</v>
      </c>
      <c r="G355" s="368"/>
    </row>
    <row r="356" spans="1:7" ht="19.5" customHeight="1">
      <c r="A356" s="376" t="s">
        <v>662</v>
      </c>
      <c r="B356" s="393" t="s">
        <v>634</v>
      </c>
      <c r="C356" s="404"/>
      <c r="D356" s="365"/>
      <c r="E356" s="365"/>
      <c r="F356" s="367"/>
      <c r="G356" s="368"/>
    </row>
    <row r="357" spans="1:7" ht="17.25" customHeight="1">
      <c r="A357" s="342" t="s">
        <v>663</v>
      </c>
      <c r="B357" s="353" t="s">
        <v>636</v>
      </c>
      <c r="C357" s="404" t="s">
        <v>54</v>
      </c>
      <c r="D357" s="365">
        <f>0.9*1.06</f>
        <v>0.9540000000000001</v>
      </c>
      <c r="E357" s="366"/>
      <c r="F357" s="367">
        <f>0.9*1.06</f>
        <v>0.9540000000000001</v>
      </c>
      <c r="G357" s="368"/>
    </row>
    <row r="358" spans="1:7" ht="12.75">
      <c r="A358" s="342" t="s">
        <v>664</v>
      </c>
      <c r="B358" s="353" t="s">
        <v>665</v>
      </c>
      <c r="C358" s="404" t="s">
        <v>54</v>
      </c>
      <c r="D358" s="365">
        <f>2.52*1.06</f>
        <v>2.6712000000000002</v>
      </c>
      <c r="E358" s="366"/>
      <c r="F358" s="367">
        <f>1.06*1.06</f>
        <v>1.1236000000000002</v>
      </c>
      <c r="G358" s="368"/>
    </row>
    <row r="359" spans="1:7" ht="25.5">
      <c r="A359" s="376" t="s">
        <v>666</v>
      </c>
      <c r="B359" s="393" t="s">
        <v>667</v>
      </c>
      <c r="C359" s="404"/>
      <c r="D359" s="365"/>
      <c r="E359" s="365"/>
      <c r="F359" s="367"/>
      <c r="G359" s="368"/>
    </row>
    <row r="360" spans="1:7" ht="17.25" customHeight="1">
      <c r="A360" s="342" t="s">
        <v>668</v>
      </c>
      <c r="B360" s="353" t="s">
        <v>669</v>
      </c>
      <c r="C360" s="404" t="s">
        <v>54</v>
      </c>
      <c r="D360" s="365">
        <f>0.24*1.06</f>
        <v>0.2544</v>
      </c>
      <c r="E360" s="366"/>
      <c r="F360" s="367">
        <f>0.24*1.06</f>
        <v>0.2544</v>
      </c>
      <c r="G360" s="368"/>
    </row>
    <row r="361" spans="1:7" ht="15" customHeight="1">
      <c r="A361" s="342" t="s">
        <v>670</v>
      </c>
      <c r="B361" s="353" t="s">
        <v>671</v>
      </c>
      <c r="C361" s="404" t="s">
        <v>54</v>
      </c>
      <c r="D361" s="365">
        <f>0.16*1.06</f>
        <v>0.1696</v>
      </c>
      <c r="E361" s="366"/>
      <c r="F361" s="367">
        <f>0.16*1.06</f>
        <v>0.1696</v>
      </c>
      <c r="G361" s="368"/>
    </row>
    <row r="362" spans="1:7" ht="25.5">
      <c r="A362" s="376" t="s">
        <v>672</v>
      </c>
      <c r="B362" s="376" t="s">
        <v>673</v>
      </c>
      <c r="C362" s="404"/>
      <c r="D362" s="365"/>
      <c r="E362" s="365"/>
      <c r="F362" s="367"/>
      <c r="G362" s="368"/>
    </row>
    <row r="363" spans="1:7" ht="12.75">
      <c r="A363" s="342" t="s">
        <v>674</v>
      </c>
      <c r="B363" s="353" t="s">
        <v>675</v>
      </c>
      <c r="C363" s="404" t="s">
        <v>54</v>
      </c>
      <c r="D363" s="365">
        <f>0.26*1.06</f>
        <v>0.2756</v>
      </c>
      <c r="E363" s="366"/>
      <c r="F363" s="367">
        <f>0.26*1.06</f>
        <v>0.2756</v>
      </c>
      <c r="G363" s="368"/>
    </row>
    <row r="364" spans="1:7" ht="25.5">
      <c r="A364" s="376" t="str">
        <f>'[1]сравнительная таблица'!B369</f>
        <v>6.5.5.</v>
      </c>
      <c r="B364" s="376" t="str">
        <f>'[1]сравнительная таблица'!C369</f>
        <v>паразитологические исследования по диагностике и мониторингу инфекционных заболеваний:  </v>
      </c>
      <c r="C364" s="404"/>
      <c r="D364" s="365"/>
      <c r="E364" s="366"/>
      <c r="F364" s="367"/>
      <c r="G364" s="368"/>
    </row>
    <row r="365" spans="1:7" ht="12.75">
      <c r="A365" s="342" t="str">
        <f>'[1]сравнительная таблица'!B370</f>
        <v>6.5.5.1.</v>
      </c>
      <c r="B365" s="342" t="str">
        <f>'[1]сравнительная таблица'!C370</f>
        <v>обнаружение простейших</v>
      </c>
      <c r="C365" s="404" t="s">
        <v>54</v>
      </c>
      <c r="D365" s="365">
        <f>1.81*1.06</f>
        <v>1.9186</v>
      </c>
      <c r="E365" s="366"/>
      <c r="F365" s="367">
        <f>1.06*1.06</f>
        <v>1.1236000000000002</v>
      </c>
      <c r="G365" s="368"/>
    </row>
    <row r="366" spans="1:7" ht="12.75">
      <c r="A366" s="376" t="str">
        <f>'[1]сравнительная таблица'!B371</f>
        <v>6.5.5.2.</v>
      </c>
      <c r="B366" s="376" t="str">
        <f>'[1]сравнительная таблица'!C371</f>
        <v>обнаружение яиц гельминтов:  </v>
      </c>
      <c r="C366" s="404"/>
      <c r="D366" s="365"/>
      <c r="E366" s="366"/>
      <c r="F366" s="367"/>
      <c r="G366" s="368"/>
    </row>
    <row r="367" spans="1:7" ht="12.75">
      <c r="A367" s="342" t="str">
        <f>'[1]сравнительная таблица'!B372</f>
        <v>6.5.5.2.1.</v>
      </c>
      <c r="B367" s="342" t="str">
        <f>'[1]сравнительная таблица'!C372</f>
        <v>методом Като (1 препарат)</v>
      </c>
      <c r="C367" s="404" t="s">
        <v>54</v>
      </c>
      <c r="D367" s="365">
        <f>1.2*1.06</f>
        <v>1.272</v>
      </c>
      <c r="E367" s="366"/>
      <c r="F367" s="367">
        <f>1.2*1.06</f>
        <v>1.272</v>
      </c>
      <c r="G367" s="368"/>
    </row>
    <row r="368" spans="1:7" ht="12" customHeight="1">
      <c r="A368" s="342" t="str">
        <f>'[1]сравнительная таблица'!B373</f>
        <v>6.5.5.2.2.</v>
      </c>
      <c r="B368" s="342" t="str">
        <f>'[1]сравнительная таблица'!C373</f>
        <v>формалин-эфирным методом</v>
      </c>
      <c r="C368" s="404" t="s">
        <v>54</v>
      </c>
      <c r="D368" s="365">
        <f>3.53*1.06</f>
        <v>3.7418</v>
      </c>
      <c r="E368" s="366"/>
      <c r="F368" s="367">
        <f>3.53*1.06</f>
        <v>3.7418</v>
      </c>
      <c r="G368" s="368"/>
    </row>
    <row r="369" spans="1:7" ht="29.25" customHeight="1">
      <c r="A369" s="342" t="str">
        <f>'[1]сравнительная таблица'!B374</f>
        <v>6.5.5.2.5.</v>
      </c>
      <c r="B369" s="342" t="str">
        <f>'[1]сравнительная таблица'!C374</f>
        <v>обнаружение анкилостом</v>
      </c>
      <c r="C369" s="404" t="s">
        <v>54</v>
      </c>
      <c r="D369" s="365">
        <f>2.28*1.05</f>
        <v>2.3939999999999997</v>
      </c>
      <c r="E369" s="366"/>
      <c r="F369" s="367">
        <f>2.28*1.05</f>
        <v>2.3939999999999997</v>
      </c>
      <c r="G369" s="368"/>
    </row>
    <row r="370" spans="1:7" ht="25.5">
      <c r="A370" s="376" t="str">
        <f>'[1]сравнительная таблица'!B375</f>
        <v>6.5.5.3.</v>
      </c>
      <c r="B370" s="376" t="str">
        <f>'[1]сравнительная таблица'!C375</f>
        <v>исследование перианального соскоба на яйца остриц и онкосферы тениид:</v>
      </c>
      <c r="C370" s="404"/>
      <c r="D370" s="365"/>
      <c r="E370" s="366"/>
      <c r="F370" s="367"/>
      <c r="G370" s="368"/>
    </row>
    <row r="371" spans="1:7" ht="15.75" customHeight="1">
      <c r="A371" s="342" t="str">
        <f>'[1]сравнительная таблица'!B376</f>
        <v>6.5.5.3.1.</v>
      </c>
      <c r="B371" s="342" t="str">
        <f>'[1]сравнительная таблица'!C376</f>
        <v>методом липкой ленты</v>
      </c>
      <c r="C371" s="404" t="s">
        <v>54</v>
      </c>
      <c r="D371" s="365">
        <f>0.48*1.06</f>
        <v>0.5088</v>
      </c>
      <c r="E371" s="366"/>
      <c r="F371" s="367">
        <f>0.48*1.06</f>
        <v>0.5088</v>
      </c>
      <c r="G371" s="368"/>
    </row>
    <row r="372" spans="1:7" ht="12.75">
      <c r="A372" s="376" t="str">
        <f>'[1]сравнительная таблица'!B377</f>
        <v>6.5.5.4.</v>
      </c>
      <c r="B372" s="376" t="str">
        <f>'[1]сравнительная таблица'!C377</f>
        <v>исследование кала на криптоспоридии:</v>
      </c>
      <c r="C372" s="404"/>
      <c r="D372" s="365"/>
      <c r="E372" s="366"/>
      <c r="F372" s="367"/>
      <c r="G372" s="368"/>
    </row>
    <row r="373" spans="1:7" ht="25.5">
      <c r="A373" s="342" t="str">
        <f>'[1]сравнительная таблица'!B378</f>
        <v>6.5.5.4.1.</v>
      </c>
      <c r="B373" s="342" t="str">
        <f>'[1]сравнительная таблица'!C378</f>
        <v>исследование кала на криптоспоридии методом микроскопии</v>
      </c>
      <c r="C373" s="404" t="s">
        <v>54</v>
      </c>
      <c r="D373" s="365">
        <f>3.83*1.06</f>
        <v>4.0598</v>
      </c>
      <c r="E373" s="366"/>
      <c r="F373" s="367">
        <f>3.83*1.06</f>
        <v>4.0598</v>
      </c>
      <c r="G373" s="368"/>
    </row>
    <row r="374" spans="1:7" ht="12.75">
      <c r="A374" s="376" t="str">
        <f>'[1]сравнительная таблица'!B379</f>
        <v>6.5.5.5.</v>
      </c>
      <c r="B374" s="376" t="str">
        <f>'[1]сравнительная таблица'!C379</f>
        <v>исследование кала на лямблиоз:</v>
      </c>
      <c r="C374" s="404"/>
      <c r="D374" s="365"/>
      <c r="E374" s="366"/>
      <c r="F374" s="367"/>
      <c r="G374" s="368"/>
    </row>
    <row r="375" spans="1:7" ht="13.5" customHeight="1">
      <c r="A375" s="342" t="str">
        <f>'[1]сравнительная таблица'!B380</f>
        <v>6.5.5.5.1.</v>
      </c>
      <c r="B375" s="342" t="str">
        <f>'[1]сравнительная таблица'!C380</f>
        <v>обнаружение цист лямблий в кале</v>
      </c>
      <c r="C375" s="404" t="s">
        <v>54</v>
      </c>
      <c r="D375" s="365">
        <f>2.45*1.06</f>
        <v>2.5970000000000004</v>
      </c>
      <c r="E375" s="366"/>
      <c r="F375" s="367">
        <f>2.45*1.06</f>
        <v>2.5970000000000004</v>
      </c>
      <c r="G375" s="368"/>
    </row>
    <row r="376" spans="1:7" ht="13.5" customHeight="1">
      <c r="A376" s="376" t="str">
        <f>'[1]сравнительная таблица'!B381</f>
        <v>6.5.5.7.</v>
      </c>
      <c r="B376" s="376" t="str">
        <f>'[1]сравнительная таблица'!C381</f>
        <v>исследование крови на малярийные паразиты:</v>
      </c>
      <c r="C376" s="404"/>
      <c r="D376" s="365"/>
      <c r="E376" s="366"/>
      <c r="F376" s="367"/>
      <c r="G376" s="368"/>
    </row>
    <row r="377" spans="1:7" ht="14.25" customHeight="1">
      <c r="A377" s="342" t="s">
        <v>1145</v>
      </c>
      <c r="B377" s="342" t="s">
        <v>1122</v>
      </c>
      <c r="C377" s="404" t="s">
        <v>54</v>
      </c>
      <c r="D377" s="367">
        <f>2.32*1.06</f>
        <v>2.4592</v>
      </c>
      <c r="E377" s="366"/>
      <c r="F377" s="367">
        <f>2.32*1.06</f>
        <v>2.4592</v>
      </c>
      <c r="G377" s="426"/>
    </row>
    <row r="378" spans="1:7" ht="12.75">
      <c r="A378" s="342" t="s">
        <v>1146</v>
      </c>
      <c r="B378" s="342" t="s">
        <v>1147</v>
      </c>
      <c r="C378" s="404" t="s">
        <v>54</v>
      </c>
      <c r="D378" s="367">
        <f>2.32*1.06</f>
        <v>2.4592</v>
      </c>
      <c r="E378" s="366"/>
      <c r="F378" s="367">
        <f>2.32*1.06</f>
        <v>2.4592</v>
      </c>
      <c r="G378" s="368"/>
    </row>
    <row r="379" spans="1:7" ht="12.75">
      <c r="A379" s="250"/>
      <c r="B379" s="250"/>
      <c r="C379" s="250"/>
      <c r="D379" s="179"/>
      <c r="E379" s="179"/>
      <c r="F379" s="179"/>
      <c r="G379" s="179"/>
    </row>
    <row r="380" spans="1:7" ht="28.5" customHeight="1">
      <c r="A380" s="502" t="s">
        <v>1020</v>
      </c>
      <c r="B380" s="502"/>
      <c r="C380" s="502"/>
      <c r="D380" s="502"/>
      <c r="E380" s="502"/>
      <c r="F380" s="502"/>
      <c r="G380" s="502"/>
    </row>
    <row r="381" spans="1:7" ht="16.5" customHeight="1">
      <c r="A381" s="389"/>
      <c r="B381" s="389"/>
      <c r="C381" s="389"/>
      <c r="D381" s="389"/>
      <c r="E381" s="389"/>
      <c r="F381" s="389"/>
      <c r="G381" s="389"/>
    </row>
    <row r="382" spans="2:6" ht="12.75">
      <c r="B382" s="275" t="s">
        <v>1</v>
      </c>
      <c r="C382" s="282"/>
      <c r="D382" s="282"/>
      <c r="E382" s="282"/>
      <c r="F382" s="282" t="s">
        <v>1159</v>
      </c>
    </row>
    <row r="383" spans="2:7" ht="12.75">
      <c r="B383" s="282"/>
      <c r="C383" s="282"/>
      <c r="D383" s="282"/>
      <c r="E383" s="282"/>
      <c r="F383" s="282"/>
      <c r="G383" s="282"/>
    </row>
    <row r="384" spans="2:6" ht="12.75">
      <c r="B384" s="282" t="s">
        <v>101</v>
      </c>
      <c r="C384" s="282"/>
      <c r="D384" s="282"/>
      <c r="E384" s="282"/>
      <c r="F384" s="282" t="s">
        <v>1160</v>
      </c>
    </row>
  </sheetData>
  <sheetProtection/>
  <mergeCells count="15">
    <mergeCell ref="A380:G380"/>
    <mergeCell ref="A10:A14"/>
    <mergeCell ref="B10:B14"/>
    <mergeCell ref="C10:C14"/>
    <mergeCell ref="D10:F11"/>
    <mergeCell ref="G10:G14"/>
    <mergeCell ref="D12:D14"/>
    <mergeCell ref="E12:F14"/>
    <mergeCell ref="A7:G7"/>
    <mergeCell ref="A8:G8"/>
    <mergeCell ref="C2:F2"/>
    <mergeCell ref="C1:F1"/>
    <mergeCell ref="C3:G3"/>
    <mergeCell ref="A5:G5"/>
    <mergeCell ref="A6:G6"/>
  </mergeCells>
  <printOptions/>
  <pageMargins left="0.3937007874015748" right="0.3937007874015748" top="0.984251968503937" bottom="0.984251968503937" header="0.5118110236220472" footer="0.5118110236220472"/>
  <pageSetup fitToWidth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E331"/>
  <sheetViews>
    <sheetView zoomScalePageLayoutView="0" workbookViewId="0" topLeftCell="A4">
      <selection activeCell="D6" sqref="D6"/>
    </sheetView>
  </sheetViews>
  <sheetFormatPr defaultColWidth="9.00390625" defaultRowHeight="12.75"/>
  <cols>
    <col min="1" max="1" width="10.25390625" style="0" customWidth="1"/>
    <col min="2" max="2" width="57.00390625" style="0" customWidth="1"/>
    <col min="3" max="3" width="10.25390625" style="0" customWidth="1"/>
    <col min="4" max="4" width="17.75390625" style="0" customWidth="1"/>
  </cols>
  <sheetData>
    <row r="1" spans="1:4" ht="81" customHeight="1">
      <c r="A1" s="510" t="s">
        <v>845</v>
      </c>
      <c r="B1" s="510"/>
      <c r="C1" s="510"/>
      <c r="D1" s="510"/>
    </row>
    <row r="2" spans="1:4" ht="118.5" customHeight="1">
      <c r="A2" s="334" t="s">
        <v>839</v>
      </c>
      <c r="B2" s="334" t="s">
        <v>838</v>
      </c>
      <c r="C2" s="334" t="s">
        <v>93</v>
      </c>
      <c r="D2" s="283" t="s">
        <v>837</v>
      </c>
    </row>
    <row r="3" spans="1:4" ht="12.75">
      <c r="A3" s="27"/>
      <c r="B3" s="32"/>
      <c r="C3" s="156"/>
      <c r="D3" s="157"/>
    </row>
    <row r="4" spans="1:4" ht="12.75">
      <c r="A4" s="285" t="s">
        <v>137</v>
      </c>
      <c r="B4" s="293" t="s">
        <v>138</v>
      </c>
      <c r="C4" s="294"/>
      <c r="D4" s="335"/>
    </row>
    <row r="5" spans="1:4" ht="12.75">
      <c r="A5" s="299"/>
      <c r="B5" s="300" t="s">
        <v>40</v>
      </c>
      <c r="C5" s="336"/>
      <c r="D5" s="337"/>
    </row>
    <row r="6" spans="1:4" ht="34.5" customHeight="1">
      <c r="A6" s="301" t="s">
        <v>139</v>
      </c>
      <c r="B6" s="302" t="s">
        <v>140</v>
      </c>
      <c r="C6" s="283" t="s">
        <v>704</v>
      </c>
      <c r="D6" s="338" t="s">
        <v>729</v>
      </c>
    </row>
    <row r="7" spans="1:4" ht="39" customHeight="1">
      <c r="A7" s="301" t="s">
        <v>141</v>
      </c>
      <c r="B7" s="303" t="s">
        <v>142</v>
      </c>
      <c r="C7" s="283" t="s">
        <v>705</v>
      </c>
      <c r="D7" s="339" t="s">
        <v>731</v>
      </c>
    </row>
    <row r="8" spans="1:4" ht="29.25" customHeight="1">
      <c r="A8" s="301" t="s">
        <v>143</v>
      </c>
      <c r="B8" s="303" t="s">
        <v>144</v>
      </c>
      <c r="C8" s="283" t="s">
        <v>706</v>
      </c>
      <c r="D8" s="338" t="s">
        <v>730</v>
      </c>
    </row>
    <row r="9" spans="1:4" ht="25.5">
      <c r="A9" s="301" t="s">
        <v>145</v>
      </c>
      <c r="B9" s="303" t="s">
        <v>146</v>
      </c>
      <c r="C9" s="283" t="s">
        <v>707</v>
      </c>
      <c r="D9" s="338" t="s">
        <v>732</v>
      </c>
    </row>
    <row r="10" spans="1:4" ht="25.5">
      <c r="A10" s="301" t="s">
        <v>147</v>
      </c>
      <c r="B10" s="303" t="s">
        <v>148</v>
      </c>
      <c r="C10" s="283" t="s">
        <v>708</v>
      </c>
      <c r="D10" s="338" t="s">
        <v>733</v>
      </c>
    </row>
    <row r="11" spans="1:4" ht="68.25" customHeight="1">
      <c r="A11" s="301" t="s">
        <v>149</v>
      </c>
      <c r="B11" s="303" t="s">
        <v>150</v>
      </c>
      <c r="C11" s="283" t="s">
        <v>709</v>
      </c>
      <c r="D11" s="338"/>
    </row>
    <row r="12" spans="1:4" ht="29.25" customHeight="1">
      <c r="A12" s="301" t="s">
        <v>151</v>
      </c>
      <c r="B12" s="303" t="s">
        <v>152</v>
      </c>
      <c r="C12" s="283" t="s">
        <v>722</v>
      </c>
      <c r="D12" s="338"/>
    </row>
    <row r="13" spans="1:4" ht="48.75" customHeight="1">
      <c r="A13" s="340" t="s">
        <v>153</v>
      </c>
      <c r="B13" s="341" t="s">
        <v>154</v>
      </c>
      <c r="C13" s="342" t="s">
        <v>710</v>
      </c>
      <c r="D13" s="343" t="s">
        <v>823</v>
      </c>
    </row>
    <row r="14" spans="1:4" ht="39" customHeight="1">
      <c r="A14" s="340" t="s">
        <v>155</v>
      </c>
      <c r="B14" s="341" t="s">
        <v>156</v>
      </c>
      <c r="C14" s="342" t="s">
        <v>710</v>
      </c>
      <c r="D14" s="343" t="s">
        <v>823</v>
      </c>
    </row>
    <row r="15" spans="1:4" ht="14.25" customHeight="1">
      <c r="A15" s="285" t="s">
        <v>157</v>
      </c>
      <c r="B15" s="286" t="s">
        <v>158</v>
      </c>
      <c r="C15" s="287"/>
      <c r="D15" s="338"/>
    </row>
    <row r="16" spans="1:4" ht="41.25" customHeight="1">
      <c r="A16" s="301" t="s">
        <v>159</v>
      </c>
      <c r="B16" s="303" t="s">
        <v>160</v>
      </c>
      <c r="C16" s="283" t="s">
        <v>710</v>
      </c>
      <c r="D16" s="338" t="s">
        <v>826</v>
      </c>
    </row>
    <row r="17" spans="1:4" ht="25.5">
      <c r="A17" s="301" t="s">
        <v>161</v>
      </c>
      <c r="B17" s="303" t="s">
        <v>162</v>
      </c>
      <c r="C17" s="283" t="s">
        <v>710</v>
      </c>
      <c r="D17" s="338"/>
    </row>
    <row r="18" spans="1:4" ht="30" customHeight="1">
      <c r="A18" s="301" t="s">
        <v>163</v>
      </c>
      <c r="B18" s="303" t="s">
        <v>164</v>
      </c>
      <c r="C18" s="283" t="s">
        <v>710</v>
      </c>
      <c r="D18" s="338"/>
    </row>
    <row r="19" spans="1:4" ht="78" customHeight="1">
      <c r="A19" s="301" t="s">
        <v>165</v>
      </c>
      <c r="B19" s="303" t="s">
        <v>166</v>
      </c>
      <c r="C19" s="283" t="s">
        <v>710</v>
      </c>
      <c r="D19" s="338"/>
    </row>
    <row r="20" spans="1:4" ht="44.25" customHeight="1">
      <c r="A20" s="301" t="s">
        <v>167</v>
      </c>
      <c r="B20" s="303" t="s">
        <v>168</v>
      </c>
      <c r="C20" s="283" t="s">
        <v>710</v>
      </c>
      <c r="D20" s="338"/>
    </row>
    <row r="21" spans="1:4" ht="42" customHeight="1">
      <c r="A21" s="301" t="s">
        <v>169</v>
      </c>
      <c r="B21" s="303" t="s">
        <v>170</v>
      </c>
      <c r="C21" s="283" t="s">
        <v>710</v>
      </c>
      <c r="D21" s="338"/>
    </row>
    <row r="22" spans="1:4" ht="39" customHeight="1">
      <c r="A22" s="285" t="s">
        <v>171</v>
      </c>
      <c r="B22" s="286" t="s">
        <v>172</v>
      </c>
      <c r="C22" s="287"/>
      <c r="D22" s="338"/>
    </row>
    <row r="23" spans="1:4" ht="12.75">
      <c r="A23" s="340" t="s">
        <v>173</v>
      </c>
      <c r="B23" s="341" t="s">
        <v>174</v>
      </c>
      <c r="C23" s="342" t="s">
        <v>711</v>
      </c>
      <c r="D23" s="343" t="s">
        <v>824</v>
      </c>
    </row>
    <row r="24" spans="1:4" ht="12.75">
      <c r="A24" s="340" t="s">
        <v>175</v>
      </c>
      <c r="B24" s="341" t="s">
        <v>176</v>
      </c>
      <c r="C24" s="342" t="s">
        <v>704</v>
      </c>
      <c r="D24" s="343"/>
    </row>
    <row r="25" spans="1:4" ht="42.75" customHeight="1">
      <c r="A25" s="301" t="s">
        <v>177</v>
      </c>
      <c r="B25" s="303" t="s">
        <v>178</v>
      </c>
      <c r="C25" s="283" t="s">
        <v>712</v>
      </c>
      <c r="D25" s="338"/>
    </row>
    <row r="26" spans="1:4" ht="67.5" customHeight="1">
      <c r="A26" s="301" t="s">
        <v>179</v>
      </c>
      <c r="B26" s="303" t="s">
        <v>180</v>
      </c>
      <c r="C26" s="283" t="s">
        <v>713</v>
      </c>
      <c r="D26" s="338"/>
    </row>
    <row r="27" spans="1:4" ht="16.5" customHeight="1">
      <c r="A27" s="285" t="s">
        <v>181</v>
      </c>
      <c r="B27" s="286" t="s">
        <v>182</v>
      </c>
      <c r="C27" s="287"/>
      <c r="D27" s="338"/>
    </row>
    <row r="28" spans="1:4" ht="43.5" customHeight="1">
      <c r="A28" s="301" t="s">
        <v>183</v>
      </c>
      <c r="B28" s="303" t="s">
        <v>184</v>
      </c>
      <c r="C28" s="283" t="s">
        <v>714</v>
      </c>
      <c r="D28" s="338" t="s">
        <v>739</v>
      </c>
    </row>
    <row r="29" spans="1:4" ht="27.75" customHeight="1">
      <c r="A29" s="301" t="s">
        <v>185</v>
      </c>
      <c r="B29" s="303" t="s">
        <v>186</v>
      </c>
      <c r="C29" s="283" t="s">
        <v>714</v>
      </c>
      <c r="D29" s="338" t="s">
        <v>740</v>
      </c>
    </row>
    <row r="30" spans="1:4" ht="29.25" customHeight="1">
      <c r="A30" s="301" t="s">
        <v>187</v>
      </c>
      <c r="B30" s="303" t="s">
        <v>188</v>
      </c>
      <c r="C30" s="283" t="s">
        <v>714</v>
      </c>
      <c r="D30" s="338" t="s">
        <v>741</v>
      </c>
    </row>
    <row r="31" spans="1:4" ht="30" customHeight="1">
      <c r="A31" s="301" t="s">
        <v>189</v>
      </c>
      <c r="B31" s="303" t="s">
        <v>190</v>
      </c>
      <c r="C31" s="283" t="s">
        <v>714</v>
      </c>
      <c r="D31" s="338" t="s">
        <v>742</v>
      </c>
    </row>
    <row r="32" spans="1:4" ht="22.5" customHeight="1">
      <c r="A32" s="301" t="s">
        <v>191</v>
      </c>
      <c r="B32" s="303" t="s">
        <v>192</v>
      </c>
      <c r="C32" s="283" t="s">
        <v>714</v>
      </c>
      <c r="D32" s="338" t="s">
        <v>743</v>
      </c>
    </row>
    <row r="33" spans="1:4" ht="30.75" customHeight="1">
      <c r="A33" s="301" t="s">
        <v>193</v>
      </c>
      <c r="B33" s="303" t="s">
        <v>194</v>
      </c>
      <c r="C33" s="283" t="s">
        <v>714</v>
      </c>
      <c r="D33" s="338" t="s">
        <v>744</v>
      </c>
    </row>
    <row r="34" spans="1:4" ht="29.25" customHeight="1">
      <c r="A34" s="301" t="s">
        <v>195</v>
      </c>
      <c r="B34" s="303" t="s">
        <v>196</v>
      </c>
      <c r="C34" s="283" t="s">
        <v>714</v>
      </c>
      <c r="D34" s="338" t="s">
        <v>745</v>
      </c>
    </row>
    <row r="35" spans="1:4" ht="27.75" customHeight="1">
      <c r="A35" s="340" t="s">
        <v>197</v>
      </c>
      <c r="B35" s="341" t="s">
        <v>198</v>
      </c>
      <c r="C35" s="342" t="s">
        <v>714</v>
      </c>
      <c r="D35" s="343" t="s">
        <v>745</v>
      </c>
    </row>
    <row r="36" spans="1:4" ht="28.5" customHeight="1">
      <c r="A36" s="340" t="s">
        <v>199</v>
      </c>
      <c r="B36" s="341" t="s">
        <v>200</v>
      </c>
      <c r="C36" s="342" t="s">
        <v>714</v>
      </c>
      <c r="D36" s="343" t="s">
        <v>745</v>
      </c>
    </row>
    <row r="37" spans="1:4" ht="24.75" customHeight="1">
      <c r="A37" s="285" t="s">
        <v>201</v>
      </c>
      <c r="B37" s="286" t="s">
        <v>202</v>
      </c>
      <c r="C37" s="287"/>
      <c r="D37" s="338"/>
    </row>
    <row r="38" spans="1:4" ht="100.5" customHeight="1">
      <c r="A38" s="301" t="s">
        <v>203</v>
      </c>
      <c r="B38" s="303" t="s">
        <v>204</v>
      </c>
      <c r="C38" s="283" t="s">
        <v>41</v>
      </c>
      <c r="D38" s="338" t="s">
        <v>746</v>
      </c>
    </row>
    <row r="39" spans="1:4" ht="92.25" customHeight="1">
      <c r="A39" s="301" t="s">
        <v>205</v>
      </c>
      <c r="B39" s="303" t="s">
        <v>206</v>
      </c>
      <c r="C39" s="283" t="s">
        <v>41</v>
      </c>
      <c r="D39" s="338" t="s">
        <v>747</v>
      </c>
    </row>
    <row r="40" spans="1:4" ht="102.75" customHeight="1">
      <c r="A40" s="301" t="s">
        <v>207</v>
      </c>
      <c r="B40" s="303" t="s">
        <v>208</v>
      </c>
      <c r="C40" s="283" t="s">
        <v>41</v>
      </c>
      <c r="D40" s="338" t="s">
        <v>748</v>
      </c>
    </row>
    <row r="41" spans="1:4" ht="95.25" customHeight="1">
      <c r="A41" s="301" t="s">
        <v>209</v>
      </c>
      <c r="B41" s="303" t="s">
        <v>210</v>
      </c>
      <c r="C41" s="283" t="s">
        <v>41</v>
      </c>
      <c r="D41" s="338" t="s">
        <v>749</v>
      </c>
    </row>
    <row r="42" spans="1:4" ht="26.25" customHeight="1">
      <c r="A42" s="344" t="s">
        <v>211</v>
      </c>
      <c r="B42" s="345" t="s">
        <v>212</v>
      </c>
      <c r="C42" s="346" t="s">
        <v>41</v>
      </c>
      <c r="D42" s="347"/>
    </row>
    <row r="43" spans="1:4" ht="30.75" customHeight="1">
      <c r="A43" s="344" t="s">
        <v>213</v>
      </c>
      <c r="B43" s="345" t="s">
        <v>214</v>
      </c>
      <c r="C43" s="346" t="s">
        <v>41</v>
      </c>
      <c r="D43" s="347"/>
    </row>
    <row r="44" spans="1:4" ht="27" customHeight="1">
      <c r="A44" s="344" t="s">
        <v>215</v>
      </c>
      <c r="B44" s="345" t="s">
        <v>216</v>
      </c>
      <c r="C44" s="346" t="s">
        <v>41</v>
      </c>
      <c r="D44" s="347"/>
    </row>
    <row r="45" spans="1:4" ht="30.75" customHeight="1">
      <c r="A45" s="344" t="s">
        <v>217</v>
      </c>
      <c r="B45" s="345" t="s">
        <v>218</v>
      </c>
      <c r="C45" s="346" t="s">
        <v>41</v>
      </c>
      <c r="D45" s="347"/>
    </row>
    <row r="46" spans="1:4" ht="63.75" customHeight="1">
      <c r="A46" s="340" t="s">
        <v>219</v>
      </c>
      <c r="B46" s="341" t="s">
        <v>220</v>
      </c>
      <c r="C46" s="342" t="s">
        <v>41</v>
      </c>
      <c r="D46" s="348"/>
    </row>
    <row r="47" spans="1:4" ht="23.25" customHeight="1">
      <c r="A47" s="340" t="s">
        <v>221</v>
      </c>
      <c r="B47" s="341" t="s">
        <v>222</v>
      </c>
      <c r="C47" s="342" t="s">
        <v>41</v>
      </c>
      <c r="D47" s="343"/>
    </row>
    <row r="48" spans="1:4" ht="39.75" customHeight="1">
      <c r="A48" s="301" t="s">
        <v>223</v>
      </c>
      <c r="B48" s="303" t="s">
        <v>224</v>
      </c>
      <c r="C48" s="283" t="s">
        <v>41</v>
      </c>
      <c r="D48" s="338" t="s">
        <v>750</v>
      </c>
    </row>
    <row r="49" spans="1:4" ht="24.75" customHeight="1">
      <c r="A49" s="340" t="s">
        <v>225</v>
      </c>
      <c r="B49" s="341" t="s">
        <v>226</v>
      </c>
      <c r="C49" s="342" t="s">
        <v>41</v>
      </c>
      <c r="D49" s="343"/>
    </row>
    <row r="50" spans="1:4" ht="25.5" customHeight="1">
      <c r="A50" s="340" t="s">
        <v>227</v>
      </c>
      <c r="B50" s="341" t="s">
        <v>228</v>
      </c>
      <c r="C50" s="342" t="s">
        <v>41</v>
      </c>
      <c r="D50" s="343"/>
    </row>
    <row r="51" spans="1:4" ht="25.5" customHeight="1">
      <c r="A51" s="340" t="s">
        <v>229</v>
      </c>
      <c r="B51" s="341" t="s">
        <v>230</v>
      </c>
      <c r="C51" s="342" t="s">
        <v>41</v>
      </c>
      <c r="D51" s="343"/>
    </row>
    <row r="52" spans="1:4" ht="25.5" customHeight="1">
      <c r="A52" s="340" t="s">
        <v>231</v>
      </c>
      <c r="B52" s="341" t="s">
        <v>232</v>
      </c>
      <c r="C52" s="342" t="s">
        <v>41</v>
      </c>
      <c r="D52" s="343"/>
    </row>
    <row r="53" spans="1:4" ht="25.5" customHeight="1">
      <c r="A53" s="340" t="s">
        <v>233</v>
      </c>
      <c r="B53" s="341" t="s">
        <v>234</v>
      </c>
      <c r="C53" s="342" t="s">
        <v>41</v>
      </c>
      <c r="D53" s="343"/>
    </row>
    <row r="54" spans="1:4" ht="24.75" customHeight="1">
      <c r="A54" s="340" t="s">
        <v>235</v>
      </c>
      <c r="B54" s="341" t="s">
        <v>236</v>
      </c>
      <c r="C54" s="342" t="s">
        <v>704</v>
      </c>
      <c r="D54" s="343"/>
    </row>
    <row r="55" spans="1:4" ht="12.75">
      <c r="A55" s="285" t="s">
        <v>237</v>
      </c>
      <c r="B55" s="286" t="s">
        <v>238</v>
      </c>
      <c r="C55" s="287"/>
      <c r="D55" s="338"/>
    </row>
    <row r="56" spans="1:4" ht="64.5" customHeight="1">
      <c r="A56" s="301" t="s">
        <v>239</v>
      </c>
      <c r="B56" s="303" t="s">
        <v>240</v>
      </c>
      <c r="C56" s="283" t="s">
        <v>704</v>
      </c>
      <c r="D56" s="338" t="s">
        <v>751</v>
      </c>
    </row>
    <row r="57" spans="1:4" ht="12.75" customHeight="1">
      <c r="A57" s="349" t="s">
        <v>241</v>
      </c>
      <c r="B57" s="350" t="s">
        <v>242</v>
      </c>
      <c r="C57" s="342"/>
      <c r="D57" s="343"/>
    </row>
    <row r="58" spans="1:4" ht="18.75" customHeight="1">
      <c r="A58" s="340" t="s">
        <v>243</v>
      </c>
      <c r="B58" s="341" t="s">
        <v>244</v>
      </c>
      <c r="C58" s="342" t="s">
        <v>704</v>
      </c>
      <c r="D58" s="343" t="s">
        <v>834</v>
      </c>
    </row>
    <row r="59" spans="1:4" ht="12.75">
      <c r="A59" s="340" t="s">
        <v>245</v>
      </c>
      <c r="B59" s="341" t="s">
        <v>246</v>
      </c>
      <c r="C59" s="342" t="s">
        <v>704</v>
      </c>
      <c r="D59" s="343" t="s">
        <v>834</v>
      </c>
    </row>
    <row r="60" spans="1:4" ht="25.5">
      <c r="A60" s="289" t="s">
        <v>446</v>
      </c>
      <c r="B60" s="290" t="s">
        <v>447</v>
      </c>
      <c r="C60" s="287"/>
      <c r="D60" s="338"/>
    </row>
    <row r="61" spans="1:4" ht="12.75">
      <c r="A61" s="283" t="s">
        <v>720</v>
      </c>
      <c r="B61" s="306" t="s">
        <v>721</v>
      </c>
      <c r="C61" s="283" t="s">
        <v>54</v>
      </c>
      <c r="D61" s="338" t="s">
        <v>795</v>
      </c>
    </row>
    <row r="62" spans="1:4" ht="12.75">
      <c r="A62" s="283" t="s">
        <v>448</v>
      </c>
      <c r="B62" s="284" t="s">
        <v>449</v>
      </c>
      <c r="C62" s="283" t="s">
        <v>54</v>
      </c>
      <c r="D62" s="338" t="s">
        <v>796</v>
      </c>
    </row>
    <row r="63" spans="1:4" ht="12.75">
      <c r="A63" s="249"/>
      <c r="B63" s="265"/>
      <c r="C63" s="281"/>
      <c r="D63" s="208"/>
    </row>
    <row r="64" spans="1:4" ht="12.75">
      <c r="A64" s="249"/>
      <c r="B64" s="265"/>
      <c r="C64" s="281"/>
      <c r="D64" s="208"/>
    </row>
    <row r="65" spans="1:4" ht="25.5" customHeight="1">
      <c r="A65" s="249" t="s">
        <v>835</v>
      </c>
      <c r="B65" s="265"/>
      <c r="C65" s="511" t="s">
        <v>836</v>
      </c>
      <c r="D65" s="511"/>
    </row>
    <row r="66" spans="1:4" ht="25.5" customHeight="1">
      <c r="A66" s="249"/>
      <c r="B66" s="265"/>
      <c r="C66" s="281"/>
      <c r="D66" s="281"/>
    </row>
    <row r="67" spans="1:4" ht="25.5" customHeight="1">
      <c r="A67" s="249"/>
      <c r="B67" s="265"/>
      <c r="C67" s="281"/>
      <c r="D67" s="281"/>
    </row>
    <row r="68" spans="1:4" ht="25.5" customHeight="1">
      <c r="A68" s="249"/>
      <c r="B68" s="265"/>
      <c r="C68" s="281"/>
      <c r="D68" s="281"/>
    </row>
    <row r="69" spans="1:4" ht="25.5" customHeight="1">
      <c r="A69" s="249"/>
      <c r="B69" s="265"/>
      <c r="C69" s="281"/>
      <c r="D69" s="281"/>
    </row>
    <row r="70" spans="1:4" ht="81" customHeight="1">
      <c r="A70" s="510" t="s">
        <v>846</v>
      </c>
      <c r="B70" s="510"/>
      <c r="C70" s="510"/>
      <c r="D70" s="510"/>
    </row>
    <row r="71" spans="1:4" ht="114.75">
      <c r="A71" s="334" t="s">
        <v>839</v>
      </c>
      <c r="B71" s="334" t="s">
        <v>838</v>
      </c>
      <c r="C71" s="334" t="s">
        <v>93</v>
      </c>
      <c r="D71" s="283" t="s">
        <v>837</v>
      </c>
    </row>
    <row r="72" spans="1:4" ht="29.25" customHeight="1">
      <c r="A72" s="289" t="s">
        <v>692</v>
      </c>
      <c r="B72" s="290" t="s">
        <v>693</v>
      </c>
      <c r="C72" s="287"/>
      <c r="D72" s="338"/>
    </row>
    <row r="73" spans="1:4" ht="12.75">
      <c r="A73" s="351"/>
      <c r="B73" s="284"/>
      <c r="C73" s="287"/>
      <c r="D73" s="338"/>
    </row>
    <row r="74" spans="1:4" ht="12.75">
      <c r="A74" s="285" t="s">
        <v>247</v>
      </c>
      <c r="B74" s="286" t="s">
        <v>248</v>
      </c>
      <c r="C74" s="287"/>
      <c r="D74" s="338"/>
    </row>
    <row r="75" spans="1:4" ht="12.75" customHeight="1">
      <c r="A75" s="285" t="s">
        <v>249</v>
      </c>
      <c r="B75" s="286" t="s">
        <v>250</v>
      </c>
      <c r="C75" s="287"/>
      <c r="D75" s="338"/>
    </row>
    <row r="76" spans="1:4" ht="12.75">
      <c r="A76" s="301" t="s">
        <v>251</v>
      </c>
      <c r="B76" s="303" t="s">
        <v>252</v>
      </c>
      <c r="C76" s="283" t="s">
        <v>54</v>
      </c>
      <c r="D76" s="338" t="s">
        <v>752</v>
      </c>
    </row>
    <row r="77" spans="1:4" ht="12.75">
      <c r="A77" s="285" t="s">
        <v>253</v>
      </c>
      <c r="B77" s="286" t="s">
        <v>254</v>
      </c>
      <c r="C77" s="287"/>
      <c r="D77" s="338"/>
    </row>
    <row r="78" spans="1:4" ht="25.5" customHeight="1">
      <c r="A78" s="301" t="s">
        <v>255</v>
      </c>
      <c r="B78" s="303" t="s">
        <v>256</v>
      </c>
      <c r="C78" s="283" t="s">
        <v>54</v>
      </c>
      <c r="D78" s="338"/>
    </row>
    <row r="79" spans="1:4" ht="32.25" customHeight="1">
      <c r="A79" s="301" t="s">
        <v>257</v>
      </c>
      <c r="B79" s="303" t="s">
        <v>258</v>
      </c>
      <c r="C79" s="283" t="s">
        <v>54</v>
      </c>
      <c r="D79" s="338" t="s">
        <v>753</v>
      </c>
    </row>
    <row r="80" spans="1:4" ht="12.75">
      <c r="A80" s="301" t="s">
        <v>259</v>
      </c>
      <c r="B80" s="303" t="s">
        <v>260</v>
      </c>
      <c r="C80" s="283" t="s">
        <v>54</v>
      </c>
      <c r="D80" s="338" t="s">
        <v>754</v>
      </c>
    </row>
    <row r="81" spans="1:4" ht="12.75">
      <c r="A81" s="301" t="s">
        <v>261</v>
      </c>
      <c r="B81" s="303" t="s">
        <v>262</v>
      </c>
      <c r="C81" s="283" t="s">
        <v>54</v>
      </c>
      <c r="D81" s="338" t="s">
        <v>755</v>
      </c>
    </row>
    <row r="82" spans="1:4" ht="12.75">
      <c r="A82" s="285" t="s">
        <v>263</v>
      </c>
      <c r="B82" s="286" t="s">
        <v>264</v>
      </c>
      <c r="C82" s="287"/>
      <c r="D82" s="338"/>
    </row>
    <row r="83" spans="1:4" ht="19.5" customHeight="1">
      <c r="A83" s="301" t="s">
        <v>265</v>
      </c>
      <c r="B83" s="303" t="s">
        <v>266</v>
      </c>
      <c r="C83" s="283" t="s">
        <v>54</v>
      </c>
      <c r="D83" s="338" t="s">
        <v>756</v>
      </c>
    </row>
    <row r="84" spans="1:4" ht="21.75" customHeight="1">
      <c r="A84" s="301" t="s">
        <v>267</v>
      </c>
      <c r="B84" s="303" t="s">
        <v>268</v>
      </c>
      <c r="C84" s="283" t="s">
        <v>54</v>
      </c>
      <c r="D84" s="338" t="s">
        <v>757</v>
      </c>
    </row>
    <row r="85" spans="1:4" ht="21.75" customHeight="1">
      <c r="A85" s="301" t="s">
        <v>269</v>
      </c>
      <c r="B85" s="303" t="s">
        <v>270</v>
      </c>
      <c r="C85" s="283" t="s">
        <v>54</v>
      </c>
      <c r="D85" s="338"/>
    </row>
    <row r="86" spans="1:4" ht="12.75">
      <c r="A86" s="301" t="s">
        <v>271</v>
      </c>
      <c r="B86" s="303" t="s">
        <v>272</v>
      </c>
      <c r="C86" s="283" t="s">
        <v>54</v>
      </c>
      <c r="D86" s="338" t="s">
        <v>758</v>
      </c>
    </row>
    <row r="87" spans="1:4" ht="18.75" customHeight="1">
      <c r="A87" s="301" t="s">
        <v>273</v>
      </c>
      <c r="B87" s="303" t="s">
        <v>274</v>
      </c>
      <c r="C87" s="283" t="s">
        <v>54</v>
      </c>
      <c r="D87" s="338" t="s">
        <v>759</v>
      </c>
    </row>
    <row r="88" spans="1:4" ht="24" customHeight="1">
      <c r="A88" s="301" t="s">
        <v>275</v>
      </c>
      <c r="B88" s="303" t="s">
        <v>276</v>
      </c>
      <c r="C88" s="283" t="s">
        <v>54</v>
      </c>
      <c r="D88" s="352" t="s">
        <v>760</v>
      </c>
    </row>
    <row r="89" spans="1:4" ht="12.75">
      <c r="A89" s="301" t="s">
        <v>277</v>
      </c>
      <c r="B89" s="303" t="s">
        <v>278</v>
      </c>
      <c r="C89" s="283" t="s">
        <v>54</v>
      </c>
      <c r="D89" s="338" t="s">
        <v>761</v>
      </c>
    </row>
    <row r="90" spans="1:4" ht="12.75">
      <c r="A90" s="301" t="s">
        <v>279</v>
      </c>
      <c r="B90" s="303" t="s">
        <v>280</v>
      </c>
      <c r="C90" s="283" t="s">
        <v>54</v>
      </c>
      <c r="D90" s="338" t="s">
        <v>762</v>
      </c>
    </row>
    <row r="91" spans="1:4" ht="19.5" customHeight="1">
      <c r="A91" s="285" t="s">
        <v>281</v>
      </c>
      <c r="B91" s="286" t="s">
        <v>282</v>
      </c>
      <c r="C91" s="287"/>
      <c r="D91" s="338"/>
    </row>
    <row r="92" spans="1:4" ht="20.25" customHeight="1">
      <c r="A92" s="301" t="s">
        <v>283</v>
      </c>
      <c r="B92" s="303" t="s">
        <v>284</v>
      </c>
      <c r="C92" s="283" t="s">
        <v>54</v>
      </c>
      <c r="D92" s="338" t="s">
        <v>763</v>
      </c>
    </row>
    <row r="93" spans="1:4" ht="17.25" customHeight="1">
      <c r="A93" s="285" t="s">
        <v>285</v>
      </c>
      <c r="B93" s="286" t="s">
        <v>286</v>
      </c>
      <c r="C93" s="287"/>
      <c r="D93" s="338"/>
    </row>
    <row r="94" spans="1:4" ht="18.75" customHeight="1">
      <c r="A94" s="301" t="s">
        <v>287</v>
      </c>
      <c r="B94" s="303" t="s">
        <v>288</v>
      </c>
      <c r="C94" s="283" t="s">
        <v>54</v>
      </c>
      <c r="D94" s="338" t="s">
        <v>764</v>
      </c>
    </row>
    <row r="95" spans="1:4" ht="21.75" customHeight="1">
      <c r="A95" s="285" t="s">
        <v>289</v>
      </c>
      <c r="B95" s="286" t="s">
        <v>290</v>
      </c>
      <c r="C95" s="287"/>
      <c r="D95" s="338"/>
    </row>
    <row r="96" spans="1:4" ht="18.75" customHeight="1">
      <c r="A96" s="301" t="s">
        <v>291</v>
      </c>
      <c r="B96" s="303" t="s">
        <v>292</v>
      </c>
      <c r="C96" s="283" t="s">
        <v>54</v>
      </c>
      <c r="D96" s="338" t="s">
        <v>765</v>
      </c>
    </row>
    <row r="97" spans="1:4" ht="18.75" customHeight="1">
      <c r="A97" s="285" t="s">
        <v>293</v>
      </c>
      <c r="B97" s="286" t="s">
        <v>294</v>
      </c>
      <c r="C97" s="287"/>
      <c r="D97" s="338"/>
    </row>
    <row r="98" spans="1:4" ht="15.75" customHeight="1">
      <c r="A98" s="301" t="s">
        <v>295</v>
      </c>
      <c r="B98" s="303" t="s">
        <v>296</v>
      </c>
      <c r="C98" s="283" t="s">
        <v>54</v>
      </c>
      <c r="D98" s="338" t="s">
        <v>766</v>
      </c>
    </row>
    <row r="99" spans="1:4" ht="19.5" customHeight="1">
      <c r="A99" s="285" t="s">
        <v>297</v>
      </c>
      <c r="B99" s="286" t="s">
        <v>298</v>
      </c>
      <c r="C99" s="287"/>
      <c r="D99" s="338"/>
    </row>
    <row r="100" spans="1:4" ht="18" customHeight="1">
      <c r="A100" s="301" t="s">
        <v>299</v>
      </c>
      <c r="B100" s="303" t="s">
        <v>300</v>
      </c>
      <c r="C100" s="283" t="s">
        <v>54</v>
      </c>
      <c r="D100" s="338" t="s">
        <v>767</v>
      </c>
    </row>
    <row r="101" spans="1:4" ht="18.75" customHeight="1">
      <c r="A101" s="285" t="s">
        <v>301</v>
      </c>
      <c r="B101" s="286" t="s">
        <v>302</v>
      </c>
      <c r="C101" s="287"/>
      <c r="D101" s="338"/>
    </row>
    <row r="102" spans="1:4" ht="18.75" customHeight="1">
      <c r="A102" s="301" t="s">
        <v>303</v>
      </c>
      <c r="B102" s="303" t="s">
        <v>304</v>
      </c>
      <c r="C102" s="283" t="s">
        <v>54</v>
      </c>
      <c r="D102" s="338" t="s">
        <v>768</v>
      </c>
    </row>
    <row r="103" spans="1:4" ht="18.75" customHeight="1">
      <c r="A103" s="314" t="s">
        <v>820</v>
      </c>
      <c r="B103" s="306" t="s">
        <v>310</v>
      </c>
      <c r="C103" s="283" t="s">
        <v>54</v>
      </c>
      <c r="D103" s="338" t="s">
        <v>821</v>
      </c>
    </row>
    <row r="104" spans="1:4" ht="12.75">
      <c r="A104" s="285" t="s">
        <v>305</v>
      </c>
      <c r="B104" s="286" t="s">
        <v>306</v>
      </c>
      <c r="C104" s="287"/>
      <c r="D104" s="338"/>
    </row>
    <row r="105" spans="1:4" ht="16.5" customHeight="1">
      <c r="A105" s="301" t="s">
        <v>307</v>
      </c>
      <c r="B105" s="303" t="s">
        <v>308</v>
      </c>
      <c r="C105" s="283" t="s">
        <v>54</v>
      </c>
      <c r="D105" s="338" t="s">
        <v>769</v>
      </c>
    </row>
    <row r="106" spans="1:4" ht="19.5" customHeight="1">
      <c r="A106" s="301" t="s">
        <v>309</v>
      </c>
      <c r="B106" s="303" t="s">
        <v>310</v>
      </c>
      <c r="C106" s="283" t="s">
        <v>54</v>
      </c>
      <c r="D106" s="338" t="s">
        <v>770</v>
      </c>
    </row>
    <row r="107" spans="1:4" ht="17.25" customHeight="1">
      <c r="A107" s="285" t="s">
        <v>311</v>
      </c>
      <c r="B107" s="286" t="s">
        <v>312</v>
      </c>
      <c r="C107" s="287"/>
      <c r="D107" s="338"/>
    </row>
    <row r="108" spans="1:4" ht="18.75" customHeight="1">
      <c r="A108" s="301" t="s">
        <v>313</v>
      </c>
      <c r="B108" s="303" t="s">
        <v>314</v>
      </c>
      <c r="C108" s="283" t="s">
        <v>54</v>
      </c>
      <c r="D108" s="338"/>
    </row>
    <row r="109" spans="1:4" ht="16.5" customHeight="1">
      <c r="A109" s="301" t="s">
        <v>315</v>
      </c>
      <c r="B109" s="303" t="s">
        <v>278</v>
      </c>
      <c r="C109" s="283" t="s">
        <v>54</v>
      </c>
      <c r="D109" s="338" t="s">
        <v>771</v>
      </c>
    </row>
    <row r="110" spans="1:4" ht="18" customHeight="1">
      <c r="A110" s="301" t="s">
        <v>316</v>
      </c>
      <c r="B110" s="303" t="s">
        <v>317</v>
      </c>
      <c r="C110" s="283" t="s">
        <v>54</v>
      </c>
      <c r="D110" s="338"/>
    </row>
    <row r="111" spans="1:4" ht="16.5" customHeight="1">
      <c r="A111" s="285" t="s">
        <v>318</v>
      </c>
      <c r="B111" s="286" t="s">
        <v>319</v>
      </c>
      <c r="C111" s="287"/>
      <c r="D111" s="338"/>
    </row>
    <row r="112" spans="1:4" ht="17.25" customHeight="1">
      <c r="A112" s="301" t="s">
        <v>320</v>
      </c>
      <c r="B112" s="303" t="s">
        <v>280</v>
      </c>
      <c r="C112" s="283" t="s">
        <v>54</v>
      </c>
      <c r="D112" s="338" t="s">
        <v>772</v>
      </c>
    </row>
    <row r="113" spans="1:4" ht="19.5" customHeight="1">
      <c r="A113" s="285" t="s">
        <v>321</v>
      </c>
      <c r="B113" s="286" t="s">
        <v>322</v>
      </c>
      <c r="C113" s="287"/>
      <c r="D113" s="338"/>
    </row>
    <row r="114" spans="1:4" ht="18" customHeight="1">
      <c r="A114" s="301" t="s">
        <v>323</v>
      </c>
      <c r="B114" s="303" t="s">
        <v>324</v>
      </c>
      <c r="C114" s="283" t="s">
        <v>54</v>
      </c>
      <c r="D114" s="338" t="s">
        <v>773</v>
      </c>
    </row>
    <row r="115" spans="1:4" ht="15.75" customHeight="1">
      <c r="A115" s="301" t="s">
        <v>325</v>
      </c>
      <c r="B115" s="303" t="s">
        <v>326</v>
      </c>
      <c r="C115" s="283" t="s">
        <v>54</v>
      </c>
      <c r="D115" s="338"/>
    </row>
    <row r="116" spans="1:4" ht="18" customHeight="1">
      <c r="A116" s="285" t="s">
        <v>327</v>
      </c>
      <c r="B116" s="286" t="s">
        <v>286</v>
      </c>
      <c r="C116" s="287"/>
      <c r="D116" s="338"/>
    </row>
    <row r="117" spans="1:4" ht="21" customHeight="1">
      <c r="A117" s="301" t="s">
        <v>328</v>
      </c>
      <c r="B117" s="303" t="s">
        <v>288</v>
      </c>
      <c r="C117" s="283" t="s">
        <v>54</v>
      </c>
      <c r="D117" s="338"/>
    </row>
    <row r="118" spans="1:4" ht="12.75">
      <c r="A118" s="285" t="s">
        <v>329</v>
      </c>
      <c r="B118" s="286" t="s">
        <v>330</v>
      </c>
      <c r="C118" s="287"/>
      <c r="D118" s="338"/>
    </row>
    <row r="119" spans="1:4" ht="18.75" customHeight="1">
      <c r="A119" s="301" t="s">
        <v>331</v>
      </c>
      <c r="B119" s="303" t="s">
        <v>332</v>
      </c>
      <c r="C119" s="283" t="s">
        <v>54</v>
      </c>
      <c r="D119" s="338"/>
    </row>
    <row r="120" spans="1:4" ht="17.25" customHeight="1">
      <c r="A120" s="301" t="s">
        <v>333</v>
      </c>
      <c r="B120" s="303" t="s">
        <v>260</v>
      </c>
      <c r="C120" s="283" t="s">
        <v>54</v>
      </c>
      <c r="D120" s="338"/>
    </row>
    <row r="121" spans="1:4" ht="18" customHeight="1">
      <c r="A121" s="301" t="s">
        <v>334</v>
      </c>
      <c r="B121" s="303" t="s">
        <v>335</v>
      </c>
      <c r="C121" s="283" t="s">
        <v>54</v>
      </c>
      <c r="D121" s="338"/>
    </row>
    <row r="122" spans="1:4" ht="17.25" customHeight="1">
      <c r="A122" s="301" t="s">
        <v>336</v>
      </c>
      <c r="B122" s="303" t="s">
        <v>268</v>
      </c>
      <c r="C122" s="283" t="s">
        <v>54</v>
      </c>
      <c r="D122" s="338"/>
    </row>
    <row r="123" spans="1:4" ht="17.25" customHeight="1">
      <c r="A123" s="301" t="s">
        <v>337</v>
      </c>
      <c r="B123" s="303" t="s">
        <v>338</v>
      </c>
      <c r="C123" s="283" t="s">
        <v>54</v>
      </c>
      <c r="D123" s="338"/>
    </row>
    <row r="124" spans="1:4" ht="18.75" customHeight="1">
      <c r="A124" s="301" t="s">
        <v>339</v>
      </c>
      <c r="B124" s="303" t="s">
        <v>340</v>
      </c>
      <c r="C124" s="283" t="s">
        <v>54</v>
      </c>
      <c r="D124" s="338"/>
    </row>
    <row r="125" spans="1:4" ht="18.75" customHeight="1">
      <c r="A125" s="301" t="s">
        <v>341</v>
      </c>
      <c r="B125" s="303" t="s">
        <v>326</v>
      </c>
      <c r="C125" s="283" t="s">
        <v>54</v>
      </c>
      <c r="D125" s="338"/>
    </row>
    <row r="126" spans="1:4" ht="12.75">
      <c r="A126" s="285" t="s">
        <v>342</v>
      </c>
      <c r="B126" s="286" t="s">
        <v>343</v>
      </c>
      <c r="C126" s="287"/>
      <c r="D126" s="338"/>
    </row>
    <row r="127" spans="1:4" ht="12.75">
      <c r="A127" s="301" t="s">
        <v>344</v>
      </c>
      <c r="B127" s="303" t="s">
        <v>345</v>
      </c>
      <c r="C127" s="283" t="s">
        <v>715</v>
      </c>
      <c r="D127" s="338"/>
    </row>
    <row r="128" spans="1:4" ht="18" customHeight="1">
      <c r="A128" s="301" t="s">
        <v>346</v>
      </c>
      <c r="B128" s="303" t="s">
        <v>347</v>
      </c>
      <c r="C128" s="283" t="s">
        <v>54</v>
      </c>
      <c r="D128" s="338"/>
    </row>
    <row r="129" spans="1:4" ht="17.25" customHeight="1">
      <c r="A129" s="301" t="s">
        <v>348</v>
      </c>
      <c r="B129" s="303" t="s">
        <v>349</v>
      </c>
      <c r="C129" s="283" t="s">
        <v>54</v>
      </c>
      <c r="D129" s="338" t="s">
        <v>774</v>
      </c>
    </row>
    <row r="130" spans="1:4" ht="18.75" customHeight="1">
      <c r="A130" s="301" t="s">
        <v>350</v>
      </c>
      <c r="B130" s="303" t="s">
        <v>351</v>
      </c>
      <c r="C130" s="283" t="s">
        <v>54</v>
      </c>
      <c r="D130" s="338" t="s">
        <v>774</v>
      </c>
    </row>
    <row r="131" spans="1:4" ht="27.75" customHeight="1">
      <c r="A131" s="285" t="s">
        <v>352</v>
      </c>
      <c r="B131" s="286" t="s">
        <v>353</v>
      </c>
      <c r="C131" s="287"/>
      <c r="D131" s="338"/>
    </row>
    <row r="132" spans="1:4" ht="12.75">
      <c r="A132" s="285" t="s">
        <v>354</v>
      </c>
      <c r="B132" s="286" t="s">
        <v>355</v>
      </c>
      <c r="C132" s="287"/>
      <c r="D132" s="338"/>
    </row>
    <row r="133" spans="1:5" ht="12.75">
      <c r="A133" s="285" t="s">
        <v>0</v>
      </c>
      <c r="B133" s="286" t="s">
        <v>356</v>
      </c>
      <c r="C133" s="287"/>
      <c r="D133" s="338"/>
      <c r="E133" s="221" t="s">
        <v>134</v>
      </c>
    </row>
    <row r="134" spans="1:4" ht="18.75" customHeight="1">
      <c r="A134" s="285" t="s">
        <v>357</v>
      </c>
      <c r="B134" s="286" t="s">
        <v>358</v>
      </c>
      <c r="C134" s="287"/>
      <c r="D134" s="338"/>
    </row>
    <row r="135" spans="1:4" ht="28.5" customHeight="1">
      <c r="A135" s="301" t="s">
        <v>359</v>
      </c>
      <c r="B135" s="303" t="s">
        <v>360</v>
      </c>
      <c r="C135" s="342" t="s">
        <v>54</v>
      </c>
      <c r="D135" s="338" t="s">
        <v>775</v>
      </c>
    </row>
    <row r="136" spans="1:4" ht="28.5" customHeight="1">
      <c r="A136" s="301" t="s">
        <v>818</v>
      </c>
      <c r="B136" s="302" t="s">
        <v>819</v>
      </c>
      <c r="C136" s="342" t="s">
        <v>54</v>
      </c>
      <c r="D136" s="338" t="s">
        <v>822</v>
      </c>
    </row>
    <row r="137" spans="1:4" ht="16.5" customHeight="1">
      <c r="A137" s="301" t="s">
        <v>361</v>
      </c>
      <c r="B137" s="303" t="s">
        <v>362</v>
      </c>
      <c r="C137" s="342" t="s">
        <v>54</v>
      </c>
      <c r="D137" s="338" t="s">
        <v>777</v>
      </c>
    </row>
    <row r="138" spans="1:5" ht="18.75" customHeight="1">
      <c r="A138" s="285" t="s">
        <v>363</v>
      </c>
      <c r="B138" s="286" t="s">
        <v>364</v>
      </c>
      <c r="C138" s="287"/>
      <c r="D138" s="338"/>
      <c r="E138" s="221" t="s">
        <v>134</v>
      </c>
    </row>
    <row r="139" spans="1:5" ht="21.75" customHeight="1">
      <c r="A139" s="301" t="s">
        <v>365</v>
      </c>
      <c r="B139" s="303" t="s">
        <v>366</v>
      </c>
      <c r="C139" s="283" t="s">
        <v>54</v>
      </c>
      <c r="D139" s="338" t="s">
        <v>785</v>
      </c>
      <c r="E139" s="221" t="s">
        <v>134</v>
      </c>
    </row>
    <row r="140" spans="1:4" ht="24" customHeight="1">
      <c r="A140" s="301" t="s">
        <v>367</v>
      </c>
      <c r="B140" s="303" t="s">
        <v>368</v>
      </c>
      <c r="C140" s="283" t="s">
        <v>54</v>
      </c>
      <c r="D140" s="338"/>
    </row>
    <row r="141" spans="1:4" ht="18" customHeight="1">
      <c r="A141" s="304" t="s">
        <v>369</v>
      </c>
      <c r="B141" s="305" t="s">
        <v>370</v>
      </c>
      <c r="C141" s="283" t="s">
        <v>54</v>
      </c>
      <c r="D141" s="338" t="s">
        <v>776</v>
      </c>
    </row>
    <row r="142" spans="1:4" ht="19.5" customHeight="1">
      <c r="A142" s="285" t="s">
        <v>371</v>
      </c>
      <c r="B142" s="286" t="s">
        <v>372</v>
      </c>
      <c r="C142" s="283"/>
      <c r="D142" s="338"/>
    </row>
    <row r="143" spans="1:4" ht="18.75" customHeight="1">
      <c r="A143" s="301" t="s">
        <v>373</v>
      </c>
      <c r="B143" s="303" t="s">
        <v>374</v>
      </c>
      <c r="C143" s="283" t="s">
        <v>54</v>
      </c>
      <c r="D143" s="338" t="s">
        <v>778</v>
      </c>
    </row>
    <row r="144" spans="1:4" ht="18.75" customHeight="1">
      <c r="A144" s="301" t="s">
        <v>375</v>
      </c>
      <c r="B144" s="303" t="s">
        <v>376</v>
      </c>
      <c r="C144" s="283" t="s">
        <v>54</v>
      </c>
      <c r="D144" s="338" t="s">
        <v>780</v>
      </c>
    </row>
    <row r="145" spans="1:4" ht="19.5" customHeight="1">
      <c r="A145" s="285" t="s">
        <v>377</v>
      </c>
      <c r="B145" s="286" t="s">
        <v>319</v>
      </c>
      <c r="C145" s="287"/>
      <c r="D145" s="338"/>
    </row>
    <row r="146" spans="1:4" ht="25.5" customHeight="1">
      <c r="A146" s="301" t="s">
        <v>378</v>
      </c>
      <c r="B146" s="303" t="s">
        <v>379</v>
      </c>
      <c r="C146" s="283" t="s">
        <v>54</v>
      </c>
      <c r="D146" s="338" t="s">
        <v>779</v>
      </c>
    </row>
    <row r="147" spans="1:4" ht="27" customHeight="1">
      <c r="A147" s="340" t="s">
        <v>380</v>
      </c>
      <c r="B147" s="341" t="s">
        <v>381</v>
      </c>
      <c r="C147" s="342" t="s">
        <v>54</v>
      </c>
      <c r="D147" s="343"/>
    </row>
    <row r="148" spans="1:4" ht="16.5" customHeight="1">
      <c r="A148" s="340" t="s">
        <v>382</v>
      </c>
      <c r="B148" s="341" t="s">
        <v>383</v>
      </c>
      <c r="C148" s="342" t="s">
        <v>54</v>
      </c>
      <c r="D148" s="343"/>
    </row>
    <row r="149" spans="1:4" ht="20.25" customHeight="1">
      <c r="A149" s="349" t="s">
        <v>384</v>
      </c>
      <c r="B149" s="350" t="s">
        <v>385</v>
      </c>
      <c r="C149" s="342"/>
      <c r="D149" s="343"/>
    </row>
    <row r="150" spans="1:4" ht="21" customHeight="1">
      <c r="A150" s="340" t="s">
        <v>386</v>
      </c>
      <c r="B150" s="341" t="s">
        <v>387</v>
      </c>
      <c r="C150" s="342" t="s">
        <v>54</v>
      </c>
      <c r="D150" s="343"/>
    </row>
    <row r="151" spans="1:4" ht="21" customHeight="1">
      <c r="A151" s="340" t="s">
        <v>388</v>
      </c>
      <c r="B151" s="341" t="s">
        <v>389</v>
      </c>
      <c r="C151" s="342" t="s">
        <v>54</v>
      </c>
      <c r="D151" s="343" t="s">
        <v>781</v>
      </c>
    </row>
    <row r="152" spans="1:4" ht="21" customHeight="1">
      <c r="A152" s="340" t="s">
        <v>390</v>
      </c>
      <c r="B152" s="341" t="s">
        <v>391</v>
      </c>
      <c r="C152" s="342" t="s">
        <v>54</v>
      </c>
      <c r="D152" s="343"/>
    </row>
    <row r="153" spans="1:4" ht="18" customHeight="1">
      <c r="A153" s="340" t="s">
        <v>392</v>
      </c>
      <c r="B153" s="341" t="s">
        <v>393</v>
      </c>
      <c r="C153" s="342" t="s">
        <v>54</v>
      </c>
      <c r="D153" s="343"/>
    </row>
    <row r="154" spans="1:4" ht="19.5" customHeight="1">
      <c r="A154" s="301" t="s">
        <v>394</v>
      </c>
      <c r="B154" s="303" t="s">
        <v>395</v>
      </c>
      <c r="C154" s="283" t="s">
        <v>54</v>
      </c>
      <c r="D154" s="338" t="s">
        <v>782</v>
      </c>
    </row>
    <row r="155" spans="1:4" ht="17.25" customHeight="1">
      <c r="A155" s="285" t="s">
        <v>396</v>
      </c>
      <c r="B155" s="286" t="s">
        <v>397</v>
      </c>
      <c r="C155" s="287"/>
      <c r="D155" s="338"/>
    </row>
    <row r="156" spans="1:4" ht="18" customHeight="1">
      <c r="A156" s="301" t="s">
        <v>398</v>
      </c>
      <c r="B156" s="303" t="s">
        <v>399</v>
      </c>
      <c r="C156" s="283" t="s">
        <v>54</v>
      </c>
      <c r="D156" s="338" t="s">
        <v>783</v>
      </c>
    </row>
    <row r="157" spans="1:4" ht="19.5" customHeight="1">
      <c r="A157" s="301" t="s">
        <v>400</v>
      </c>
      <c r="B157" s="303" t="s">
        <v>401</v>
      </c>
      <c r="C157" s="283" t="s">
        <v>54</v>
      </c>
      <c r="D157" s="338" t="s">
        <v>784</v>
      </c>
    </row>
    <row r="158" spans="1:4" ht="20.25" customHeight="1">
      <c r="A158" s="285" t="s">
        <v>402</v>
      </c>
      <c r="B158" s="286" t="s">
        <v>403</v>
      </c>
      <c r="C158" s="283"/>
      <c r="D158" s="338"/>
    </row>
    <row r="159" spans="1:4" ht="27" customHeight="1">
      <c r="A159" s="301" t="s">
        <v>404</v>
      </c>
      <c r="B159" s="303" t="s">
        <v>405</v>
      </c>
      <c r="C159" s="283" t="s">
        <v>54</v>
      </c>
      <c r="D159" s="338" t="s">
        <v>786</v>
      </c>
    </row>
    <row r="160" spans="1:4" ht="19.5" customHeight="1">
      <c r="A160" s="301" t="s">
        <v>406</v>
      </c>
      <c r="B160" s="303" t="s">
        <v>407</v>
      </c>
      <c r="C160" s="283" t="s">
        <v>54</v>
      </c>
      <c r="D160" s="338"/>
    </row>
    <row r="161" spans="1:4" ht="25.5" customHeight="1">
      <c r="A161" s="285" t="s">
        <v>408</v>
      </c>
      <c r="B161" s="286" t="s">
        <v>409</v>
      </c>
      <c r="C161" s="287"/>
      <c r="D161" s="338"/>
    </row>
    <row r="162" spans="1:4" ht="25.5" customHeight="1">
      <c r="A162" s="301" t="s">
        <v>410</v>
      </c>
      <c r="B162" s="303" t="s">
        <v>411</v>
      </c>
      <c r="C162" s="283" t="s">
        <v>54</v>
      </c>
      <c r="D162" s="338" t="s">
        <v>787</v>
      </c>
    </row>
    <row r="163" spans="1:4" ht="25.5" customHeight="1">
      <c r="A163" s="301" t="s">
        <v>412</v>
      </c>
      <c r="B163" s="303" t="s">
        <v>413</v>
      </c>
      <c r="C163" s="283" t="s">
        <v>54</v>
      </c>
      <c r="D163" s="338"/>
    </row>
    <row r="164" spans="1:4" ht="27" customHeight="1">
      <c r="A164" s="301" t="s">
        <v>414</v>
      </c>
      <c r="B164" s="303" t="s">
        <v>415</v>
      </c>
      <c r="C164" s="283" t="s">
        <v>54</v>
      </c>
      <c r="D164" s="338"/>
    </row>
    <row r="165" spans="1:4" ht="18.75" customHeight="1">
      <c r="A165" s="301" t="s">
        <v>416</v>
      </c>
      <c r="B165" s="303" t="s">
        <v>417</v>
      </c>
      <c r="C165" s="283" t="s">
        <v>54</v>
      </c>
      <c r="D165" s="338"/>
    </row>
    <row r="166" spans="1:4" ht="18" customHeight="1">
      <c r="A166" s="301" t="s">
        <v>418</v>
      </c>
      <c r="B166" s="303" t="s">
        <v>419</v>
      </c>
      <c r="C166" s="283" t="s">
        <v>54</v>
      </c>
      <c r="D166" s="338"/>
    </row>
    <row r="167" spans="1:4" ht="16.5" customHeight="1">
      <c r="A167" s="301" t="s">
        <v>420</v>
      </c>
      <c r="B167" s="303" t="s">
        <v>421</v>
      </c>
      <c r="C167" s="283" t="s">
        <v>54</v>
      </c>
      <c r="D167" s="338"/>
    </row>
    <row r="168" spans="1:4" ht="18.75" customHeight="1">
      <c r="A168" s="301" t="s">
        <v>422</v>
      </c>
      <c r="B168" s="303" t="s">
        <v>272</v>
      </c>
      <c r="C168" s="283" t="s">
        <v>54</v>
      </c>
      <c r="D168" s="338"/>
    </row>
    <row r="169" spans="1:4" ht="12.75">
      <c r="A169" s="301" t="s">
        <v>423</v>
      </c>
      <c r="B169" s="303" t="s">
        <v>424</v>
      </c>
      <c r="C169" s="283" t="s">
        <v>54</v>
      </c>
      <c r="D169" s="338" t="s">
        <v>788</v>
      </c>
    </row>
    <row r="170" spans="1:4" ht="15.75" customHeight="1">
      <c r="A170" s="301" t="s">
        <v>425</v>
      </c>
      <c r="B170" s="303" t="s">
        <v>426</v>
      </c>
      <c r="C170" s="283" t="s">
        <v>54</v>
      </c>
      <c r="D170" s="338" t="s">
        <v>789</v>
      </c>
    </row>
    <row r="171" spans="1:4" ht="20.25" customHeight="1">
      <c r="A171" s="301" t="s">
        <v>427</v>
      </c>
      <c r="B171" s="303" t="s">
        <v>428</v>
      </c>
      <c r="C171" s="283" t="s">
        <v>54</v>
      </c>
      <c r="D171" s="338" t="s">
        <v>790</v>
      </c>
    </row>
    <row r="172" spans="1:4" ht="18.75" customHeight="1">
      <c r="A172" s="301" t="s">
        <v>429</v>
      </c>
      <c r="B172" s="303" t="s">
        <v>430</v>
      </c>
      <c r="C172" s="283" t="s">
        <v>54</v>
      </c>
      <c r="D172" s="338"/>
    </row>
    <row r="173" spans="1:4" ht="15" customHeight="1">
      <c r="A173" s="301" t="s">
        <v>431</v>
      </c>
      <c r="B173" s="303" t="s">
        <v>432</v>
      </c>
      <c r="C173" s="283" t="s">
        <v>54</v>
      </c>
      <c r="D173" s="338" t="s">
        <v>791</v>
      </c>
    </row>
    <row r="174" spans="1:4" ht="15.75" customHeight="1">
      <c r="A174" s="301" t="s">
        <v>433</v>
      </c>
      <c r="B174" s="303" t="s">
        <v>434</v>
      </c>
      <c r="C174" s="283" t="s">
        <v>54</v>
      </c>
      <c r="D174" s="338" t="s">
        <v>792</v>
      </c>
    </row>
    <row r="175" spans="1:4" ht="15" customHeight="1">
      <c r="A175" s="301" t="s">
        <v>435</v>
      </c>
      <c r="B175" s="303" t="s">
        <v>436</v>
      </c>
      <c r="C175" s="283" t="s">
        <v>54</v>
      </c>
      <c r="D175" s="338" t="s">
        <v>793</v>
      </c>
    </row>
    <row r="176" spans="1:4" ht="15.75" customHeight="1">
      <c r="A176" s="285" t="s">
        <v>437</v>
      </c>
      <c r="B176" s="286" t="s">
        <v>438</v>
      </c>
      <c r="C176" s="287"/>
      <c r="D176" s="338"/>
    </row>
    <row r="177" spans="1:4" ht="25.5" customHeight="1">
      <c r="A177" s="301" t="s">
        <v>439</v>
      </c>
      <c r="B177" s="303" t="s">
        <v>440</v>
      </c>
      <c r="C177" s="283" t="s">
        <v>54</v>
      </c>
      <c r="D177" s="338" t="s">
        <v>794</v>
      </c>
    </row>
    <row r="178" spans="1:4" ht="17.25" customHeight="1">
      <c r="A178" s="285" t="s">
        <v>55</v>
      </c>
      <c r="B178" s="286" t="s">
        <v>441</v>
      </c>
      <c r="C178" s="287"/>
      <c r="D178" s="338"/>
    </row>
    <row r="179" spans="1:4" ht="16.5" customHeight="1">
      <c r="A179" s="301" t="s">
        <v>442</v>
      </c>
      <c r="B179" s="303" t="s">
        <v>443</v>
      </c>
      <c r="C179" s="283" t="s">
        <v>54</v>
      </c>
      <c r="D179" s="338"/>
    </row>
    <row r="180" spans="1:4" ht="26.25" customHeight="1">
      <c r="A180" s="301" t="s">
        <v>444</v>
      </c>
      <c r="B180" s="303" t="s">
        <v>445</v>
      </c>
      <c r="C180" s="283" t="s">
        <v>54</v>
      </c>
      <c r="D180" s="338" t="s">
        <v>774</v>
      </c>
    </row>
    <row r="181" spans="1:4" ht="12.75">
      <c r="A181" s="301"/>
      <c r="B181" s="305"/>
      <c r="C181" s="283"/>
      <c r="D181" s="338"/>
    </row>
    <row r="182" spans="1:4" ht="12.75">
      <c r="A182" s="289" t="s">
        <v>450</v>
      </c>
      <c r="B182" s="290" t="s">
        <v>451</v>
      </c>
      <c r="C182" s="287"/>
      <c r="D182" s="338"/>
    </row>
    <row r="183" spans="1:4" ht="12.75">
      <c r="A183" s="289" t="s">
        <v>452</v>
      </c>
      <c r="B183" s="290" t="s">
        <v>453</v>
      </c>
      <c r="C183" s="287"/>
      <c r="D183" s="338"/>
    </row>
    <row r="184" spans="1:4" ht="12.75">
      <c r="A184" s="289" t="s">
        <v>454</v>
      </c>
      <c r="B184" s="290" t="s">
        <v>455</v>
      </c>
      <c r="C184" s="287"/>
      <c r="D184" s="338"/>
    </row>
    <row r="185" spans="1:4" ht="26.25" customHeight="1">
      <c r="A185" s="283" t="s">
        <v>456</v>
      </c>
      <c r="B185" s="284" t="s">
        <v>457</v>
      </c>
      <c r="C185" s="283" t="s">
        <v>54</v>
      </c>
      <c r="D185" s="338" t="s">
        <v>698</v>
      </c>
    </row>
    <row r="186" spans="1:4" ht="15" customHeight="1">
      <c r="A186" s="283" t="s">
        <v>458</v>
      </c>
      <c r="B186" s="284" t="s">
        <v>459</v>
      </c>
      <c r="C186" s="283" t="s">
        <v>54</v>
      </c>
      <c r="D186" s="338" t="s">
        <v>479</v>
      </c>
    </row>
    <row r="187" spans="1:4" ht="12.75">
      <c r="A187" s="289" t="s">
        <v>460</v>
      </c>
      <c r="B187" s="290" t="s">
        <v>461</v>
      </c>
      <c r="C187" s="287"/>
      <c r="D187" s="338"/>
    </row>
    <row r="188" spans="1:4" ht="12.75" customHeight="1">
      <c r="A188" s="283" t="s">
        <v>462</v>
      </c>
      <c r="B188" s="284" t="s">
        <v>463</v>
      </c>
      <c r="C188" s="283" t="s">
        <v>54</v>
      </c>
      <c r="D188" s="338" t="s">
        <v>617</v>
      </c>
    </row>
    <row r="189" spans="1:4" ht="12" customHeight="1">
      <c r="A189" s="283" t="s">
        <v>464</v>
      </c>
      <c r="B189" s="284" t="s">
        <v>465</v>
      </c>
      <c r="C189" s="283" t="s">
        <v>54</v>
      </c>
      <c r="D189" s="338" t="s">
        <v>797</v>
      </c>
    </row>
    <row r="190" spans="1:4" ht="26.25" customHeight="1">
      <c r="A190" s="342" t="s">
        <v>466</v>
      </c>
      <c r="B190" s="353" t="s">
        <v>467</v>
      </c>
      <c r="C190" s="342" t="s">
        <v>716</v>
      </c>
      <c r="D190" s="343"/>
    </row>
    <row r="191" spans="1:4" ht="12.75">
      <c r="A191" s="289" t="s">
        <v>39</v>
      </c>
      <c r="B191" s="290" t="s">
        <v>468</v>
      </c>
      <c r="C191" s="287"/>
      <c r="D191" s="338"/>
    </row>
    <row r="192" spans="1:4" ht="25.5" customHeight="1">
      <c r="A192" s="283" t="s">
        <v>469</v>
      </c>
      <c r="B192" s="284" t="s">
        <v>470</v>
      </c>
      <c r="C192" s="283" t="s">
        <v>54</v>
      </c>
      <c r="D192" s="338" t="s">
        <v>774</v>
      </c>
    </row>
    <row r="193" spans="1:4" ht="16.5" customHeight="1">
      <c r="A193" s="283" t="s">
        <v>471</v>
      </c>
      <c r="B193" s="284" t="s">
        <v>472</v>
      </c>
      <c r="C193" s="283" t="s">
        <v>54</v>
      </c>
      <c r="D193" s="338" t="s">
        <v>774</v>
      </c>
    </row>
    <row r="194" spans="1:4" ht="12.75">
      <c r="A194" s="237"/>
      <c r="B194" s="265"/>
      <c r="C194" s="231"/>
      <c r="D194" s="208"/>
    </row>
    <row r="195" spans="1:4" ht="14.25" customHeight="1">
      <c r="A195" s="439" t="s">
        <v>841</v>
      </c>
      <c r="B195" s="439"/>
      <c r="C195" s="231" t="s">
        <v>842</v>
      </c>
      <c r="D195" s="208"/>
    </row>
    <row r="196" spans="1:4" ht="82.5" customHeight="1">
      <c r="A196" s="510" t="s">
        <v>847</v>
      </c>
      <c r="B196" s="510"/>
      <c r="C196" s="510"/>
      <c r="D196" s="510"/>
    </row>
    <row r="197" spans="1:4" ht="114.75">
      <c r="A197" s="334" t="s">
        <v>839</v>
      </c>
      <c r="B197" s="334" t="s">
        <v>838</v>
      </c>
      <c r="C197" s="334" t="s">
        <v>93</v>
      </c>
      <c r="D197" s="283" t="s">
        <v>837</v>
      </c>
    </row>
    <row r="198" spans="1:4" ht="12.75">
      <c r="A198" s="289" t="s">
        <v>695</v>
      </c>
      <c r="B198" s="290" t="s">
        <v>696</v>
      </c>
      <c r="C198" s="287"/>
      <c r="D198" s="338"/>
    </row>
    <row r="199" spans="1:4" ht="12.75">
      <c r="A199" s="289" t="s">
        <v>43</v>
      </c>
      <c r="B199" s="290" t="s">
        <v>697</v>
      </c>
      <c r="C199" s="287"/>
      <c r="D199" s="338"/>
    </row>
    <row r="200" spans="1:4" ht="12.75">
      <c r="A200" s="289" t="s">
        <v>698</v>
      </c>
      <c r="B200" s="290" t="s">
        <v>699</v>
      </c>
      <c r="C200" s="287"/>
      <c r="D200" s="338"/>
    </row>
    <row r="201" spans="1:4" ht="16.5" customHeight="1">
      <c r="A201" s="283" t="s">
        <v>701</v>
      </c>
      <c r="B201" s="284" t="s">
        <v>702</v>
      </c>
      <c r="C201" s="283" t="s">
        <v>717</v>
      </c>
      <c r="D201" s="338"/>
    </row>
    <row r="202" spans="1:4" ht="17.25" customHeight="1">
      <c r="A202" s="283" t="s">
        <v>473</v>
      </c>
      <c r="B202" s="284" t="s">
        <v>474</v>
      </c>
      <c r="C202" s="283" t="s">
        <v>718</v>
      </c>
      <c r="D202" s="338" t="s">
        <v>840</v>
      </c>
    </row>
    <row r="203" spans="1:4" ht="24.75" customHeight="1">
      <c r="A203" s="342" t="s">
        <v>475</v>
      </c>
      <c r="B203" s="353" t="s">
        <v>476</v>
      </c>
      <c r="C203" s="342" t="s">
        <v>54</v>
      </c>
      <c r="D203" s="348" t="s">
        <v>827</v>
      </c>
    </row>
    <row r="204" spans="1:4" ht="12.75">
      <c r="A204" s="283" t="s">
        <v>477</v>
      </c>
      <c r="B204" s="284" t="s">
        <v>478</v>
      </c>
      <c r="C204" s="283" t="s">
        <v>54</v>
      </c>
      <c r="D204" s="338"/>
    </row>
    <row r="205" spans="1:4" ht="12.75">
      <c r="A205" s="285" t="s">
        <v>479</v>
      </c>
      <c r="B205" s="286" t="s">
        <v>480</v>
      </c>
      <c r="C205" s="287"/>
      <c r="D205" s="338"/>
    </row>
    <row r="206" spans="1:4" ht="40.5" customHeight="1">
      <c r="A206" s="283" t="s">
        <v>481</v>
      </c>
      <c r="B206" s="284" t="s">
        <v>482</v>
      </c>
      <c r="C206" s="283" t="s">
        <v>54</v>
      </c>
      <c r="D206" s="339" t="s">
        <v>801</v>
      </c>
    </row>
    <row r="207" spans="1:4" ht="31.5" customHeight="1">
      <c r="A207" s="283" t="s">
        <v>483</v>
      </c>
      <c r="B207" s="284" t="s">
        <v>484</v>
      </c>
      <c r="C207" s="283" t="s">
        <v>54</v>
      </c>
      <c r="D207" s="338" t="s">
        <v>802</v>
      </c>
    </row>
    <row r="208" spans="1:4" ht="29.25" customHeight="1">
      <c r="A208" s="283" t="s">
        <v>485</v>
      </c>
      <c r="B208" s="284" t="s">
        <v>486</v>
      </c>
      <c r="C208" s="283" t="s">
        <v>54</v>
      </c>
      <c r="D208" s="338" t="s">
        <v>803</v>
      </c>
    </row>
    <row r="209" spans="1:4" ht="27" customHeight="1">
      <c r="A209" s="283" t="s">
        <v>487</v>
      </c>
      <c r="B209" s="284" t="s">
        <v>488</v>
      </c>
      <c r="C209" s="283" t="s">
        <v>54</v>
      </c>
      <c r="D209" s="338"/>
    </row>
    <row r="210" spans="1:4" ht="30.75" customHeight="1">
      <c r="A210" s="285" t="s">
        <v>489</v>
      </c>
      <c r="B210" s="286" t="s">
        <v>490</v>
      </c>
      <c r="C210" s="287"/>
      <c r="D210" s="338"/>
    </row>
    <row r="211" spans="1:4" ht="28.5" customHeight="1">
      <c r="A211" s="285" t="s">
        <v>491</v>
      </c>
      <c r="B211" s="286" t="s">
        <v>492</v>
      </c>
      <c r="C211" s="287"/>
      <c r="D211" s="338"/>
    </row>
    <row r="212" spans="1:4" ht="45" customHeight="1">
      <c r="A212" s="283" t="s">
        <v>493</v>
      </c>
      <c r="B212" s="284" t="s">
        <v>494</v>
      </c>
      <c r="C212" s="283" t="s">
        <v>54</v>
      </c>
      <c r="D212" s="338" t="s">
        <v>469</v>
      </c>
    </row>
    <row r="213" spans="1:4" ht="55.5" customHeight="1">
      <c r="A213" s="283" t="s">
        <v>495</v>
      </c>
      <c r="B213" s="284" t="s">
        <v>496</v>
      </c>
      <c r="C213" s="283" t="s">
        <v>54</v>
      </c>
      <c r="D213" s="338" t="s">
        <v>471</v>
      </c>
    </row>
    <row r="214" spans="1:4" ht="39.75" customHeight="1">
      <c r="A214" s="283" t="s">
        <v>497</v>
      </c>
      <c r="B214" s="284" t="s">
        <v>498</v>
      </c>
      <c r="C214" s="283" t="s">
        <v>54</v>
      </c>
      <c r="D214" s="338"/>
    </row>
    <row r="215" spans="1:4" ht="57" customHeight="1">
      <c r="A215" s="283" t="s">
        <v>499</v>
      </c>
      <c r="B215" s="284" t="s">
        <v>500</v>
      </c>
      <c r="C215" s="283" t="s">
        <v>54</v>
      </c>
      <c r="D215" s="338" t="s">
        <v>798</v>
      </c>
    </row>
    <row r="216" spans="1:4" ht="28.5" customHeight="1">
      <c r="A216" s="283" t="s">
        <v>501</v>
      </c>
      <c r="B216" s="284" t="s">
        <v>502</v>
      </c>
      <c r="C216" s="283" t="s">
        <v>54</v>
      </c>
      <c r="D216" s="338"/>
    </row>
    <row r="217" spans="1:4" ht="34.5" customHeight="1">
      <c r="A217" s="283" t="s">
        <v>503</v>
      </c>
      <c r="B217" s="284" t="s">
        <v>504</v>
      </c>
      <c r="C217" s="283" t="s">
        <v>54</v>
      </c>
      <c r="D217" s="338" t="s">
        <v>799</v>
      </c>
    </row>
    <row r="218" spans="1:4" ht="30.75" customHeight="1">
      <c r="A218" s="283" t="s">
        <v>505</v>
      </c>
      <c r="B218" s="284" t="s">
        <v>506</v>
      </c>
      <c r="C218" s="283" t="s">
        <v>54</v>
      </c>
      <c r="D218" s="338"/>
    </row>
    <row r="219" spans="1:4" ht="18.75" customHeight="1">
      <c r="A219" s="285" t="s">
        <v>507</v>
      </c>
      <c r="B219" s="286" t="s">
        <v>508</v>
      </c>
      <c r="C219" s="287"/>
      <c r="D219" s="338"/>
    </row>
    <row r="220" spans="1:4" ht="30" customHeight="1">
      <c r="A220" s="285" t="s">
        <v>509</v>
      </c>
      <c r="B220" s="286" t="s">
        <v>510</v>
      </c>
      <c r="C220" s="287"/>
      <c r="D220" s="338"/>
    </row>
    <row r="221" spans="1:4" ht="39" customHeight="1">
      <c r="A221" s="283" t="s">
        <v>511</v>
      </c>
      <c r="B221" s="284" t="s">
        <v>694</v>
      </c>
      <c r="C221" s="283" t="s">
        <v>54</v>
      </c>
      <c r="D221" s="338" t="s">
        <v>800</v>
      </c>
    </row>
    <row r="222" spans="1:4" ht="32.25" customHeight="1">
      <c r="A222" s="285" t="s">
        <v>512</v>
      </c>
      <c r="B222" s="286" t="s">
        <v>513</v>
      </c>
      <c r="C222" s="283"/>
      <c r="D222" s="338"/>
    </row>
    <row r="223" spans="1:4" ht="20.25" customHeight="1">
      <c r="A223" s="342" t="s">
        <v>514</v>
      </c>
      <c r="B223" s="353" t="s">
        <v>515</v>
      </c>
      <c r="C223" s="342" t="s">
        <v>54</v>
      </c>
      <c r="D223" s="343" t="s">
        <v>804</v>
      </c>
    </row>
    <row r="224" spans="1:4" ht="25.5" customHeight="1">
      <c r="A224" s="342" t="s">
        <v>516</v>
      </c>
      <c r="B224" s="353" t="s">
        <v>517</v>
      </c>
      <c r="C224" s="342" t="s">
        <v>54</v>
      </c>
      <c r="D224" s="343"/>
    </row>
    <row r="225" spans="1:4" ht="28.5" customHeight="1">
      <c r="A225" s="283" t="s">
        <v>518</v>
      </c>
      <c r="B225" s="284" t="s">
        <v>519</v>
      </c>
      <c r="C225" s="283" t="s">
        <v>54</v>
      </c>
      <c r="D225" s="338" t="s">
        <v>805</v>
      </c>
    </row>
    <row r="226" spans="1:4" ht="22.5" customHeight="1">
      <c r="A226" s="283" t="s">
        <v>520</v>
      </c>
      <c r="B226" s="284" t="s">
        <v>521</v>
      </c>
      <c r="C226" s="283" t="s">
        <v>54</v>
      </c>
      <c r="D226" s="338" t="s">
        <v>806</v>
      </c>
    </row>
    <row r="227" spans="1:4" ht="27" customHeight="1">
      <c r="A227" s="283" t="s">
        <v>522</v>
      </c>
      <c r="B227" s="284" t="s">
        <v>523</v>
      </c>
      <c r="C227" s="283" t="s">
        <v>54</v>
      </c>
      <c r="D227" s="338" t="s">
        <v>807</v>
      </c>
    </row>
    <row r="228" spans="1:4" ht="27.75" customHeight="1">
      <c r="A228" s="283" t="s">
        <v>524</v>
      </c>
      <c r="B228" s="284" t="s">
        <v>525</v>
      </c>
      <c r="C228" s="283" t="s">
        <v>54</v>
      </c>
      <c r="D228" s="338" t="s">
        <v>808</v>
      </c>
    </row>
    <row r="229" spans="1:4" ht="22.5" customHeight="1">
      <c r="A229" s="283" t="s">
        <v>526</v>
      </c>
      <c r="B229" s="284" t="s">
        <v>527</v>
      </c>
      <c r="C229" s="283" t="s">
        <v>54</v>
      </c>
      <c r="D229" s="338" t="s">
        <v>809</v>
      </c>
    </row>
    <row r="230" spans="1:4" ht="22.5" customHeight="1">
      <c r="A230" s="283" t="s">
        <v>528</v>
      </c>
      <c r="B230" s="284" t="s">
        <v>529</v>
      </c>
      <c r="C230" s="283" t="s">
        <v>54</v>
      </c>
      <c r="D230" s="338" t="s">
        <v>810</v>
      </c>
    </row>
    <row r="231" spans="1:4" ht="12.75">
      <c r="A231" s="283" t="s">
        <v>530</v>
      </c>
      <c r="B231" s="284" t="s">
        <v>531</v>
      </c>
      <c r="C231" s="283" t="s">
        <v>54</v>
      </c>
      <c r="D231" s="338" t="s">
        <v>811</v>
      </c>
    </row>
    <row r="232" spans="1:4" ht="27.75" customHeight="1">
      <c r="A232" s="283" t="s">
        <v>532</v>
      </c>
      <c r="B232" s="284" t="s">
        <v>533</v>
      </c>
      <c r="C232" s="283" t="s">
        <v>54</v>
      </c>
      <c r="D232" s="338" t="s">
        <v>812</v>
      </c>
    </row>
    <row r="233" spans="1:4" ht="27.75" customHeight="1">
      <c r="A233" s="283" t="s">
        <v>828</v>
      </c>
      <c r="B233" s="354" t="s">
        <v>829</v>
      </c>
      <c r="C233" s="283" t="s">
        <v>54</v>
      </c>
      <c r="D233" s="338" t="s">
        <v>830</v>
      </c>
    </row>
    <row r="234" spans="1:4" ht="28.5" customHeight="1">
      <c r="A234" s="349" t="s">
        <v>534</v>
      </c>
      <c r="B234" s="350" t="s">
        <v>535</v>
      </c>
      <c r="C234" s="342"/>
      <c r="D234" s="343"/>
    </row>
    <row r="235" spans="1:4" ht="18" customHeight="1">
      <c r="A235" s="342" t="s">
        <v>536</v>
      </c>
      <c r="B235" s="353" t="s">
        <v>515</v>
      </c>
      <c r="C235" s="342" t="s">
        <v>54</v>
      </c>
      <c r="D235" s="348" t="s">
        <v>825</v>
      </c>
    </row>
    <row r="236" spans="1:4" ht="25.5" customHeight="1">
      <c r="A236" s="342" t="s">
        <v>537</v>
      </c>
      <c r="B236" s="353" t="s">
        <v>517</v>
      </c>
      <c r="C236" s="342" t="s">
        <v>54</v>
      </c>
      <c r="D236" s="343"/>
    </row>
    <row r="237" spans="1:4" ht="30" customHeight="1">
      <c r="A237" s="283" t="s">
        <v>538</v>
      </c>
      <c r="B237" s="284" t="s">
        <v>539</v>
      </c>
      <c r="C237" s="283" t="s">
        <v>54</v>
      </c>
      <c r="D237" s="338"/>
    </row>
    <row r="238" spans="1:4" ht="28.5" customHeight="1">
      <c r="A238" s="283" t="s">
        <v>540</v>
      </c>
      <c r="B238" s="284" t="s">
        <v>541</v>
      </c>
      <c r="C238" s="283" t="s">
        <v>54</v>
      </c>
      <c r="D238" s="338" t="s">
        <v>813</v>
      </c>
    </row>
    <row r="239" spans="1:4" ht="19.5" customHeight="1">
      <c r="A239" s="285" t="s">
        <v>542</v>
      </c>
      <c r="B239" s="286" t="s">
        <v>543</v>
      </c>
      <c r="C239" s="287"/>
      <c r="D239" s="338"/>
    </row>
    <row r="240" spans="1:4" ht="19.5" customHeight="1">
      <c r="A240" s="283" t="s">
        <v>544</v>
      </c>
      <c r="B240" s="284" t="s">
        <v>545</v>
      </c>
      <c r="C240" s="283" t="s">
        <v>54</v>
      </c>
      <c r="D240" s="338"/>
    </row>
    <row r="241" spans="1:5" ht="21" customHeight="1">
      <c r="A241" s="283" t="s">
        <v>546</v>
      </c>
      <c r="B241" s="284" t="s">
        <v>547</v>
      </c>
      <c r="C241" s="283" t="s">
        <v>54</v>
      </c>
      <c r="D241" s="338"/>
      <c r="E241" s="221" t="s">
        <v>134</v>
      </c>
    </row>
    <row r="242" spans="1:4" ht="21" customHeight="1">
      <c r="A242" s="285" t="s">
        <v>548</v>
      </c>
      <c r="B242" s="286" t="s">
        <v>549</v>
      </c>
      <c r="C242" s="287"/>
      <c r="D242" s="338"/>
    </row>
    <row r="243" spans="1:4" ht="18.75" customHeight="1">
      <c r="A243" s="342" t="s">
        <v>550</v>
      </c>
      <c r="B243" s="353" t="s">
        <v>545</v>
      </c>
      <c r="C243" s="342" t="s">
        <v>54</v>
      </c>
      <c r="D243" s="343" t="s">
        <v>814</v>
      </c>
    </row>
    <row r="244" spans="1:4" ht="18.75" customHeight="1">
      <c r="A244" s="342" t="s">
        <v>551</v>
      </c>
      <c r="B244" s="353" t="s">
        <v>547</v>
      </c>
      <c r="C244" s="342" t="s">
        <v>54</v>
      </c>
      <c r="D244" s="343"/>
    </row>
    <row r="245" spans="1:4" ht="18" customHeight="1">
      <c r="A245" s="342" t="s">
        <v>552</v>
      </c>
      <c r="B245" s="353" t="s">
        <v>553</v>
      </c>
      <c r="C245" s="342" t="s">
        <v>54</v>
      </c>
      <c r="D245" s="343" t="s">
        <v>800</v>
      </c>
    </row>
    <row r="246" spans="1:4" ht="25.5" customHeight="1">
      <c r="A246" s="285" t="s">
        <v>555</v>
      </c>
      <c r="B246" s="286" t="s">
        <v>556</v>
      </c>
      <c r="C246" s="287"/>
      <c r="D246" s="338"/>
    </row>
    <row r="247" spans="1:4" ht="19.5" customHeight="1">
      <c r="A247" s="283" t="s">
        <v>557</v>
      </c>
      <c r="B247" s="284" t="s">
        <v>545</v>
      </c>
      <c r="C247" s="283" t="s">
        <v>54</v>
      </c>
      <c r="D247" s="338"/>
    </row>
    <row r="248" spans="1:4" ht="28.5" customHeight="1">
      <c r="A248" s="283" t="s">
        <v>558</v>
      </c>
      <c r="B248" s="284" t="s">
        <v>559</v>
      </c>
      <c r="C248" s="283" t="s">
        <v>54</v>
      </c>
      <c r="D248" s="338"/>
    </row>
    <row r="249" spans="1:4" ht="21" customHeight="1">
      <c r="A249" s="285" t="s">
        <v>560</v>
      </c>
      <c r="B249" s="286" t="s">
        <v>561</v>
      </c>
      <c r="C249" s="283"/>
      <c r="D249" s="338"/>
    </row>
    <row r="250" spans="1:4" ht="18.75" customHeight="1">
      <c r="A250" s="283" t="s">
        <v>562</v>
      </c>
      <c r="B250" s="284" t="s">
        <v>545</v>
      </c>
      <c r="C250" s="283" t="s">
        <v>54</v>
      </c>
      <c r="D250" s="338"/>
    </row>
    <row r="251" spans="1:4" ht="18.75" customHeight="1">
      <c r="A251" s="283" t="s">
        <v>563</v>
      </c>
      <c r="B251" s="284" t="s">
        <v>554</v>
      </c>
      <c r="C251" s="283" t="s">
        <v>54</v>
      </c>
      <c r="D251" s="338"/>
    </row>
    <row r="252" spans="1:4" ht="22.5" customHeight="1">
      <c r="A252" s="285" t="s">
        <v>564</v>
      </c>
      <c r="B252" s="286" t="s">
        <v>565</v>
      </c>
      <c r="C252" s="287"/>
      <c r="D252" s="338"/>
    </row>
    <row r="253" spans="1:4" ht="20.25" customHeight="1">
      <c r="A253" s="283" t="s">
        <v>566</v>
      </c>
      <c r="B253" s="284" t="s">
        <v>545</v>
      </c>
      <c r="C253" s="283" t="s">
        <v>54</v>
      </c>
      <c r="D253" s="338"/>
    </row>
    <row r="254" spans="1:4" ht="21" customHeight="1">
      <c r="A254" s="283" t="s">
        <v>567</v>
      </c>
      <c r="B254" s="284" t="s">
        <v>554</v>
      </c>
      <c r="C254" s="283" t="s">
        <v>54</v>
      </c>
      <c r="D254" s="338"/>
    </row>
    <row r="255" spans="1:4" ht="19.5" customHeight="1">
      <c r="A255" s="285" t="s">
        <v>568</v>
      </c>
      <c r="B255" s="286" t="s">
        <v>569</v>
      </c>
      <c r="C255" s="283"/>
      <c r="D255" s="338"/>
    </row>
    <row r="256" spans="1:4" ht="21.75" customHeight="1">
      <c r="A256" s="283" t="s">
        <v>570</v>
      </c>
      <c r="B256" s="284" t="s">
        <v>545</v>
      </c>
      <c r="C256" s="283" t="s">
        <v>54</v>
      </c>
      <c r="D256" s="338"/>
    </row>
    <row r="257" spans="1:4" ht="19.5" customHeight="1">
      <c r="A257" s="283" t="s">
        <v>571</v>
      </c>
      <c r="B257" s="284" t="s">
        <v>554</v>
      </c>
      <c r="C257" s="283" t="s">
        <v>54</v>
      </c>
      <c r="D257" s="338"/>
    </row>
    <row r="258" spans="1:4" ht="21" customHeight="1">
      <c r="A258" s="285" t="s">
        <v>572</v>
      </c>
      <c r="B258" s="286" t="s">
        <v>573</v>
      </c>
      <c r="C258" s="283"/>
      <c r="D258" s="338"/>
    </row>
    <row r="259" spans="1:4" ht="18.75" customHeight="1">
      <c r="A259" s="342" t="s">
        <v>574</v>
      </c>
      <c r="B259" s="353" t="s">
        <v>515</v>
      </c>
      <c r="C259" s="342" t="s">
        <v>54</v>
      </c>
      <c r="D259" s="343" t="s">
        <v>815</v>
      </c>
    </row>
    <row r="260" spans="1:4" ht="18.75" customHeight="1">
      <c r="A260" s="342" t="s">
        <v>575</v>
      </c>
      <c r="B260" s="353" t="s">
        <v>559</v>
      </c>
      <c r="C260" s="342" t="s">
        <v>54</v>
      </c>
      <c r="D260" s="343"/>
    </row>
    <row r="261" spans="1:4" ht="18.75" customHeight="1">
      <c r="A261" s="283" t="s">
        <v>576</v>
      </c>
      <c r="B261" s="284" t="s">
        <v>577</v>
      </c>
      <c r="C261" s="283" t="s">
        <v>54</v>
      </c>
      <c r="D261" s="338"/>
    </row>
    <row r="262" spans="1:4" ht="29.25" customHeight="1">
      <c r="A262" s="285" t="s">
        <v>578</v>
      </c>
      <c r="B262" s="286" t="s">
        <v>579</v>
      </c>
      <c r="C262" s="186"/>
      <c r="D262" s="338"/>
    </row>
    <row r="263" spans="1:4" ht="21.75" customHeight="1">
      <c r="A263" s="283" t="s">
        <v>580</v>
      </c>
      <c r="B263" s="284" t="s">
        <v>515</v>
      </c>
      <c r="C263" s="283" t="s">
        <v>54</v>
      </c>
      <c r="D263" s="338"/>
    </row>
    <row r="264" spans="1:4" ht="17.25" customHeight="1">
      <c r="A264" s="283" t="s">
        <v>581</v>
      </c>
      <c r="B264" s="284" t="s">
        <v>582</v>
      </c>
      <c r="C264" s="283" t="s">
        <v>54</v>
      </c>
      <c r="D264" s="338"/>
    </row>
    <row r="265" spans="1:4" ht="18" customHeight="1">
      <c r="A265" s="285" t="s">
        <v>583</v>
      </c>
      <c r="B265" s="286" t="s">
        <v>584</v>
      </c>
      <c r="C265" s="186"/>
      <c r="D265" s="338"/>
    </row>
    <row r="266" spans="1:4" ht="21.75" customHeight="1">
      <c r="A266" s="283" t="s">
        <v>585</v>
      </c>
      <c r="B266" s="284" t="s">
        <v>515</v>
      </c>
      <c r="C266" s="283" t="s">
        <v>54</v>
      </c>
      <c r="D266" s="338"/>
    </row>
    <row r="267" spans="1:4" ht="25.5" customHeight="1">
      <c r="A267" s="283" t="s">
        <v>586</v>
      </c>
      <c r="B267" s="284" t="s">
        <v>587</v>
      </c>
      <c r="C267" s="283" t="s">
        <v>54</v>
      </c>
      <c r="D267" s="338"/>
    </row>
    <row r="268" spans="1:4" ht="19.5" customHeight="1">
      <c r="A268" s="285" t="s">
        <v>588</v>
      </c>
      <c r="B268" s="286" t="s">
        <v>589</v>
      </c>
      <c r="C268" s="186"/>
      <c r="D268" s="338"/>
    </row>
    <row r="269" spans="1:4" ht="19.5" customHeight="1">
      <c r="A269" s="283" t="s">
        <v>590</v>
      </c>
      <c r="B269" s="284" t="s">
        <v>515</v>
      </c>
      <c r="C269" s="283" t="s">
        <v>54</v>
      </c>
      <c r="D269" s="338"/>
    </row>
    <row r="270" spans="1:4" ht="18.75" customHeight="1">
      <c r="A270" s="283" t="s">
        <v>591</v>
      </c>
      <c r="B270" s="284" t="s">
        <v>582</v>
      </c>
      <c r="C270" s="283" t="s">
        <v>54</v>
      </c>
      <c r="D270" s="338"/>
    </row>
    <row r="271" spans="1:4" ht="18.75" customHeight="1">
      <c r="A271" s="285" t="s">
        <v>592</v>
      </c>
      <c r="B271" s="286" t="s">
        <v>593</v>
      </c>
      <c r="C271" s="186"/>
      <c r="D271" s="338"/>
    </row>
    <row r="272" spans="1:4" ht="19.5" customHeight="1">
      <c r="A272" s="283" t="s">
        <v>594</v>
      </c>
      <c r="B272" s="284" t="s">
        <v>515</v>
      </c>
      <c r="C272" s="283" t="s">
        <v>54</v>
      </c>
      <c r="D272" s="338"/>
    </row>
    <row r="273" spans="1:4" ht="25.5" customHeight="1">
      <c r="A273" s="283" t="s">
        <v>595</v>
      </c>
      <c r="B273" s="284" t="s">
        <v>587</v>
      </c>
      <c r="C273" s="283" t="s">
        <v>54</v>
      </c>
      <c r="D273" s="338"/>
    </row>
    <row r="274" spans="1:4" ht="20.25" customHeight="1">
      <c r="A274" s="283" t="s">
        <v>596</v>
      </c>
      <c r="B274" s="284" t="s">
        <v>597</v>
      </c>
      <c r="C274" s="283" t="s">
        <v>54</v>
      </c>
      <c r="D274" s="338"/>
    </row>
    <row r="275" spans="1:4" ht="20.25" customHeight="1">
      <c r="A275" s="283" t="s">
        <v>598</v>
      </c>
      <c r="B275" s="284" t="s">
        <v>599</v>
      </c>
      <c r="C275" s="283" t="s">
        <v>54</v>
      </c>
      <c r="D275" s="338"/>
    </row>
    <row r="276" spans="1:4" ht="16.5" customHeight="1">
      <c r="A276" s="283" t="s">
        <v>600</v>
      </c>
      <c r="B276" s="284" t="s">
        <v>601</v>
      </c>
      <c r="C276" s="283" t="s">
        <v>54</v>
      </c>
      <c r="D276" s="338"/>
    </row>
    <row r="277" spans="1:4" ht="30.75" customHeight="1">
      <c r="A277" s="283" t="s">
        <v>602</v>
      </c>
      <c r="B277" s="284" t="s">
        <v>603</v>
      </c>
      <c r="C277" s="283" t="s">
        <v>54</v>
      </c>
      <c r="D277" s="338"/>
    </row>
    <row r="278" spans="1:4" ht="20.25" customHeight="1">
      <c r="A278" s="287" t="s">
        <v>604</v>
      </c>
      <c r="B278" s="288" t="s">
        <v>605</v>
      </c>
      <c r="C278" s="283" t="s">
        <v>54</v>
      </c>
      <c r="D278" s="338"/>
    </row>
    <row r="279" spans="1:4" ht="20.25" customHeight="1">
      <c r="A279" s="342" t="s">
        <v>606</v>
      </c>
      <c r="B279" s="353" t="s">
        <v>607</v>
      </c>
      <c r="C279" s="342" t="s">
        <v>54</v>
      </c>
      <c r="D279" s="343" t="s">
        <v>808</v>
      </c>
    </row>
    <row r="280" spans="1:4" ht="19.5" customHeight="1">
      <c r="A280" s="342" t="s">
        <v>608</v>
      </c>
      <c r="B280" s="353" t="s">
        <v>609</v>
      </c>
      <c r="C280" s="342" t="s">
        <v>54</v>
      </c>
      <c r="D280" s="343" t="s">
        <v>831</v>
      </c>
    </row>
    <row r="281" spans="1:4" ht="19.5" customHeight="1">
      <c r="A281" s="342" t="s">
        <v>610</v>
      </c>
      <c r="B281" s="353" t="s">
        <v>611</v>
      </c>
      <c r="C281" s="342" t="s">
        <v>54</v>
      </c>
      <c r="D281" s="343" t="s">
        <v>832</v>
      </c>
    </row>
    <row r="282" spans="1:4" ht="24.75" customHeight="1">
      <c r="A282" s="283" t="s">
        <v>612</v>
      </c>
      <c r="B282" s="284" t="s">
        <v>613</v>
      </c>
      <c r="C282" s="283" t="s">
        <v>54</v>
      </c>
      <c r="D282" s="338" t="s">
        <v>816</v>
      </c>
    </row>
    <row r="283" spans="1:4" ht="12.75">
      <c r="A283" s="283" t="s">
        <v>614</v>
      </c>
      <c r="B283" s="284" t="s">
        <v>615</v>
      </c>
      <c r="C283" s="283" t="s">
        <v>54</v>
      </c>
      <c r="D283" s="338" t="s">
        <v>817</v>
      </c>
    </row>
    <row r="284" spans="1:4" ht="27.75" customHeight="1">
      <c r="A284" s="285" t="s">
        <v>44</v>
      </c>
      <c r="B284" s="286" t="s">
        <v>616</v>
      </c>
      <c r="C284" s="186"/>
      <c r="D284" s="338"/>
    </row>
    <row r="285" spans="1:4" ht="30" customHeight="1">
      <c r="A285" s="285" t="s">
        <v>617</v>
      </c>
      <c r="B285" s="286" t="s">
        <v>618</v>
      </c>
      <c r="C285" s="186"/>
      <c r="D285" s="338"/>
    </row>
    <row r="286" spans="1:4" ht="39" customHeight="1">
      <c r="A286" s="285" t="s">
        <v>619</v>
      </c>
      <c r="B286" s="286" t="s">
        <v>620</v>
      </c>
      <c r="C286" s="186"/>
      <c r="D286" s="338"/>
    </row>
    <row r="287" spans="1:4" ht="19.5" customHeight="1">
      <c r="A287" s="283" t="s">
        <v>621</v>
      </c>
      <c r="B287" s="284" t="s">
        <v>622</v>
      </c>
      <c r="C287" s="186" t="s">
        <v>54</v>
      </c>
      <c r="D287" s="338"/>
    </row>
    <row r="288" spans="1:4" ht="25.5" customHeight="1">
      <c r="A288" s="289" t="s">
        <v>703</v>
      </c>
      <c r="B288" s="290" t="s">
        <v>642</v>
      </c>
      <c r="C288" s="186"/>
      <c r="D288" s="338"/>
    </row>
    <row r="289" spans="1:4" ht="25.5" customHeight="1">
      <c r="A289" s="283" t="s">
        <v>623</v>
      </c>
      <c r="B289" s="284" t="s">
        <v>624</v>
      </c>
      <c r="C289" s="186" t="s">
        <v>54</v>
      </c>
      <c r="D289" s="338"/>
    </row>
    <row r="290" spans="1:4" ht="17.25" customHeight="1">
      <c r="A290" s="283" t="s">
        <v>625</v>
      </c>
      <c r="B290" s="284" t="s">
        <v>626</v>
      </c>
      <c r="C290" s="186" t="s">
        <v>54</v>
      </c>
      <c r="D290" s="338"/>
    </row>
    <row r="291" spans="1:4" ht="24" customHeight="1">
      <c r="A291" s="285" t="s">
        <v>627</v>
      </c>
      <c r="B291" s="286" t="s">
        <v>628</v>
      </c>
      <c r="C291" s="186"/>
      <c r="D291" s="338"/>
    </row>
    <row r="292" spans="1:4" ht="18.75" customHeight="1">
      <c r="A292" s="285" t="s">
        <v>629</v>
      </c>
      <c r="B292" s="286" t="s">
        <v>630</v>
      </c>
      <c r="C292" s="186"/>
      <c r="D292" s="338"/>
    </row>
    <row r="293" spans="1:4" ht="15.75" customHeight="1">
      <c r="A293" s="283" t="s">
        <v>631</v>
      </c>
      <c r="B293" s="284" t="s">
        <v>545</v>
      </c>
      <c r="C293" s="186" t="s">
        <v>54</v>
      </c>
      <c r="D293" s="338"/>
    </row>
    <row r="294" spans="1:4" ht="30.75" customHeight="1">
      <c r="A294" s="283" t="s">
        <v>632</v>
      </c>
      <c r="B294" s="284" t="s">
        <v>559</v>
      </c>
      <c r="C294" s="186" t="s">
        <v>54</v>
      </c>
      <c r="D294" s="338"/>
    </row>
    <row r="295" spans="1:4" ht="19.5" customHeight="1">
      <c r="A295" s="285" t="s">
        <v>633</v>
      </c>
      <c r="B295" s="286" t="s">
        <v>634</v>
      </c>
      <c r="C295" s="186"/>
      <c r="D295" s="338"/>
    </row>
    <row r="296" spans="1:4" ht="24.75" customHeight="1">
      <c r="A296" s="283" t="s">
        <v>635</v>
      </c>
      <c r="B296" s="284" t="s">
        <v>636</v>
      </c>
      <c r="C296" s="186" t="s">
        <v>54</v>
      </c>
      <c r="D296" s="339"/>
    </row>
    <row r="297" spans="1:4" ht="26.25" customHeight="1">
      <c r="A297" s="289" t="s">
        <v>637</v>
      </c>
      <c r="B297" s="290" t="s">
        <v>638</v>
      </c>
      <c r="C297" s="186"/>
      <c r="D297" s="338"/>
    </row>
    <row r="298" spans="1:4" ht="26.25" customHeight="1">
      <c r="A298" s="283" t="s">
        <v>639</v>
      </c>
      <c r="B298" s="284" t="s">
        <v>640</v>
      </c>
      <c r="C298" s="186" t="s">
        <v>54</v>
      </c>
      <c r="D298" s="343"/>
    </row>
    <row r="299" spans="1:4" ht="15.75" customHeight="1">
      <c r="A299" s="285" t="s">
        <v>641</v>
      </c>
      <c r="B299" s="286" t="s">
        <v>642</v>
      </c>
      <c r="C299" s="186"/>
      <c r="D299" s="343"/>
    </row>
    <row r="300" spans="1:4" ht="24.75" customHeight="1">
      <c r="A300" s="283" t="s">
        <v>643</v>
      </c>
      <c r="B300" s="284" t="s">
        <v>644</v>
      </c>
      <c r="C300" s="186" t="s">
        <v>54</v>
      </c>
      <c r="D300" s="348"/>
    </row>
    <row r="301" spans="1:4" ht="20.25" customHeight="1">
      <c r="A301" s="283" t="s">
        <v>645</v>
      </c>
      <c r="B301" s="284" t="s">
        <v>626</v>
      </c>
      <c r="C301" s="186" t="s">
        <v>54</v>
      </c>
      <c r="D301" s="339"/>
    </row>
    <row r="302" spans="1:4" ht="15.75" customHeight="1">
      <c r="A302" s="285" t="s">
        <v>646</v>
      </c>
      <c r="B302" s="286" t="s">
        <v>634</v>
      </c>
      <c r="C302" s="186"/>
      <c r="D302" s="338"/>
    </row>
    <row r="303" spans="1:4" ht="25.5" customHeight="1">
      <c r="A303" s="283" t="s">
        <v>647</v>
      </c>
      <c r="B303" s="284" t="s">
        <v>636</v>
      </c>
      <c r="C303" s="186" t="s">
        <v>54</v>
      </c>
      <c r="D303" s="339"/>
    </row>
    <row r="304" spans="1:4" ht="27.75" customHeight="1">
      <c r="A304" s="285" t="s">
        <v>648</v>
      </c>
      <c r="B304" s="286" t="s">
        <v>649</v>
      </c>
      <c r="C304" s="186"/>
      <c r="D304" s="338"/>
    </row>
    <row r="305" spans="1:4" ht="33" customHeight="1">
      <c r="A305" s="283" t="s">
        <v>650</v>
      </c>
      <c r="B305" s="284" t="s">
        <v>651</v>
      </c>
      <c r="C305" s="186" t="s">
        <v>54</v>
      </c>
      <c r="D305" s="338"/>
    </row>
    <row r="306" spans="1:4" ht="25.5" customHeight="1">
      <c r="A306" s="283" t="s">
        <v>652</v>
      </c>
      <c r="B306" s="284" t="s">
        <v>559</v>
      </c>
      <c r="C306" s="186" t="s">
        <v>54</v>
      </c>
      <c r="D306" s="338"/>
    </row>
    <row r="307" spans="1:4" ht="25.5" customHeight="1">
      <c r="A307" s="285" t="s">
        <v>653</v>
      </c>
      <c r="B307" s="286" t="s">
        <v>634</v>
      </c>
      <c r="C307" s="186"/>
      <c r="D307" s="338"/>
    </row>
    <row r="308" spans="1:4" ht="22.5" customHeight="1">
      <c r="A308" s="283" t="s">
        <v>654</v>
      </c>
      <c r="B308" s="284" t="s">
        <v>636</v>
      </c>
      <c r="C308" s="186" t="s">
        <v>54</v>
      </c>
      <c r="D308" s="339"/>
    </row>
    <row r="309" spans="1:4" ht="25.5" customHeight="1">
      <c r="A309" s="289" t="s">
        <v>656</v>
      </c>
      <c r="B309" s="290" t="s">
        <v>657</v>
      </c>
      <c r="C309" s="186"/>
      <c r="D309" s="338"/>
    </row>
    <row r="310" spans="1:4" ht="19.5" customHeight="1">
      <c r="A310" s="283" t="s">
        <v>658</v>
      </c>
      <c r="B310" s="284" t="s">
        <v>655</v>
      </c>
      <c r="C310" s="186" t="s">
        <v>54</v>
      </c>
      <c r="D310" s="338"/>
    </row>
    <row r="311" spans="1:4" ht="31.5" customHeight="1">
      <c r="A311" s="289" t="s">
        <v>659</v>
      </c>
      <c r="B311" s="290" t="s">
        <v>642</v>
      </c>
      <c r="C311" s="186"/>
      <c r="D311" s="338"/>
    </row>
    <row r="312" spans="1:4" ht="19.5" customHeight="1">
      <c r="A312" s="283" t="s">
        <v>660</v>
      </c>
      <c r="B312" s="284" t="s">
        <v>624</v>
      </c>
      <c r="C312" s="186" t="s">
        <v>54</v>
      </c>
      <c r="D312" s="338"/>
    </row>
    <row r="313" spans="1:4" ht="18.75" customHeight="1">
      <c r="A313" s="283" t="s">
        <v>661</v>
      </c>
      <c r="B313" s="284" t="s">
        <v>626</v>
      </c>
      <c r="C313" s="186" t="s">
        <v>54</v>
      </c>
      <c r="D313" s="338"/>
    </row>
    <row r="314" spans="1:4" ht="17.25" customHeight="1">
      <c r="A314" s="289" t="s">
        <v>662</v>
      </c>
      <c r="B314" s="290" t="s">
        <v>634</v>
      </c>
      <c r="C314" s="186"/>
      <c r="D314" s="338"/>
    </row>
    <row r="315" spans="1:4" ht="18.75" customHeight="1">
      <c r="A315" s="283" t="s">
        <v>663</v>
      </c>
      <c r="B315" s="284" t="s">
        <v>636</v>
      </c>
      <c r="C315" s="186" t="s">
        <v>54</v>
      </c>
      <c r="D315" s="339"/>
    </row>
    <row r="316" spans="1:4" ht="12.75">
      <c r="A316" s="283" t="s">
        <v>664</v>
      </c>
      <c r="B316" s="284" t="s">
        <v>665</v>
      </c>
      <c r="C316" s="186" t="s">
        <v>54</v>
      </c>
      <c r="D316" s="338"/>
    </row>
    <row r="317" spans="1:4" ht="25.5" customHeight="1">
      <c r="A317" s="289" t="s">
        <v>666</v>
      </c>
      <c r="B317" s="290" t="s">
        <v>667</v>
      </c>
      <c r="C317" s="186"/>
      <c r="D317" s="338"/>
    </row>
    <row r="318" spans="1:4" ht="19.5" customHeight="1">
      <c r="A318" s="283" t="s">
        <v>668</v>
      </c>
      <c r="B318" s="284" t="s">
        <v>669</v>
      </c>
      <c r="C318" s="186" t="s">
        <v>54</v>
      </c>
      <c r="D318" s="338"/>
    </row>
    <row r="319" spans="1:4" ht="17.25" customHeight="1">
      <c r="A319" s="283" t="s">
        <v>670</v>
      </c>
      <c r="B319" s="284" t="s">
        <v>671</v>
      </c>
      <c r="C319" s="186" t="s">
        <v>54</v>
      </c>
      <c r="D319" s="338"/>
    </row>
    <row r="320" spans="1:4" ht="25.5" customHeight="1">
      <c r="A320" s="289" t="s">
        <v>672</v>
      </c>
      <c r="B320" s="290" t="s">
        <v>673</v>
      </c>
      <c r="C320" s="186"/>
      <c r="D320" s="338"/>
    </row>
    <row r="321" spans="1:4" ht="18.75" customHeight="1">
      <c r="A321" s="283" t="s">
        <v>674</v>
      </c>
      <c r="B321" s="284" t="s">
        <v>675</v>
      </c>
      <c r="C321" s="186" t="s">
        <v>54</v>
      </c>
      <c r="D321" s="338"/>
    </row>
    <row r="322" spans="1:4" ht="12.75">
      <c r="A322" s="291" t="s">
        <v>676</v>
      </c>
      <c r="B322" s="292" t="s">
        <v>677</v>
      </c>
      <c r="C322" s="186"/>
      <c r="D322" s="338"/>
    </row>
    <row r="323" spans="1:4" ht="18" customHeight="1">
      <c r="A323" s="287" t="s">
        <v>678</v>
      </c>
      <c r="B323" s="288" t="s">
        <v>679</v>
      </c>
      <c r="C323" s="186" t="s">
        <v>54</v>
      </c>
      <c r="D323" s="338"/>
    </row>
    <row r="324" spans="1:4" ht="18.75" customHeight="1">
      <c r="A324" s="287" t="s">
        <v>680</v>
      </c>
      <c r="B324" s="288" t="s">
        <v>681</v>
      </c>
      <c r="C324" s="186" t="s">
        <v>54</v>
      </c>
      <c r="D324" s="338"/>
    </row>
    <row r="325" spans="1:4" ht="12.75">
      <c r="A325" s="289" t="s">
        <v>682</v>
      </c>
      <c r="B325" s="290" t="s">
        <v>683</v>
      </c>
      <c r="C325" s="186"/>
      <c r="D325" s="338"/>
    </row>
    <row r="326" spans="1:4" ht="12.75">
      <c r="A326" s="289" t="s">
        <v>684</v>
      </c>
      <c r="B326" s="290" t="s">
        <v>685</v>
      </c>
      <c r="C326" s="186"/>
      <c r="D326" s="338"/>
    </row>
    <row r="327" spans="1:4" ht="19.5" customHeight="1">
      <c r="A327" s="283" t="s">
        <v>686</v>
      </c>
      <c r="B327" s="284" t="s">
        <v>687</v>
      </c>
      <c r="C327" s="186" t="s">
        <v>719</v>
      </c>
      <c r="D327" s="338"/>
    </row>
    <row r="328" spans="1:4" ht="16.5" customHeight="1">
      <c r="A328" s="283" t="s">
        <v>688</v>
      </c>
      <c r="B328" s="284" t="s">
        <v>689</v>
      </c>
      <c r="C328" s="186" t="s">
        <v>719</v>
      </c>
      <c r="D328" s="338"/>
    </row>
    <row r="329" spans="1:4" ht="28.5" customHeight="1">
      <c r="A329" s="283" t="s">
        <v>690</v>
      </c>
      <c r="B329" s="284" t="s">
        <v>691</v>
      </c>
      <c r="C329" s="186"/>
      <c r="D329" s="338"/>
    </row>
    <row r="330" spans="1:4" ht="12.75">
      <c r="A330" s="282"/>
      <c r="B330" s="282"/>
      <c r="C330" s="282"/>
      <c r="D330" s="208"/>
    </row>
    <row r="331" spans="1:4" ht="25.5" customHeight="1">
      <c r="A331" s="440" t="s">
        <v>843</v>
      </c>
      <c r="B331" s="440"/>
      <c r="C331" s="274"/>
      <c r="D331" s="274" t="s">
        <v>844</v>
      </c>
    </row>
  </sheetData>
  <sheetProtection/>
  <mergeCells count="6">
    <mergeCell ref="A1:D1"/>
    <mergeCell ref="C65:D65"/>
    <mergeCell ref="A70:D70"/>
    <mergeCell ref="A195:B195"/>
    <mergeCell ref="A196:D196"/>
    <mergeCell ref="A331:B331"/>
  </mergeCells>
  <printOptions/>
  <pageMargins left="0.15748031496062992" right="0.15748031496062992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user</cp:lastModifiedBy>
  <cp:lastPrinted>2022-09-15T10:52:38Z</cp:lastPrinted>
  <dcterms:created xsi:type="dcterms:W3CDTF">2010-06-23T11:24:50Z</dcterms:created>
  <dcterms:modified xsi:type="dcterms:W3CDTF">2024-02-07T05:26:07Z</dcterms:modified>
  <cp:category/>
  <cp:version/>
  <cp:contentType/>
  <cp:contentStatus/>
</cp:coreProperties>
</file>